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tabRatio="922" firstSheet="4" activeTab="8"/>
  </bookViews>
  <sheets>
    <sheet name="目录" sheetId="16" r:id="rId1"/>
    <sheet name="供应商清单" sheetId="13" r:id="rId2"/>
    <sheet name="广州海鸥住宅工业股份有限公司" sheetId="27" r:id="rId3"/>
    <sheet name="珠海承鸥卫浴用品有限公司" sheetId="26" r:id="rId4"/>
    <sheet name="未交清汇总" sheetId="25" r:id="rId5"/>
    <sheet name="7月入仓汇总" sheetId="29" r:id="rId6"/>
    <sheet name="未交清清单" sheetId="24" r:id="rId7"/>
    <sheet name="7月入仓清单" sheetId="28" r:id="rId8"/>
    <sheet name="总量产日报表控" sheetId="33" r:id="rId9"/>
    <sheet name="模具及PPAP日报表" sheetId="37" r:id="rId10"/>
    <sheet name="生产进度日报表A" sheetId="38" r:id="rId11"/>
    <sheet name="生产进度日报表B" sheetId="34" r:id="rId12"/>
    <sheet name="供应商每日情报收集" sheetId="31" r:id="rId13"/>
    <sheet name="周报总控表" sheetId="30" r:id="rId14"/>
    <sheet name="授予料号" sheetId="17" r:id="rId15"/>
    <sheet name="组员分工" sheetId="8" r:id="rId16"/>
    <sheet name="供应商分组" sheetId="9" r:id="rId17"/>
    <sheet name="订单汇总" sheetId="10" r:id="rId18"/>
    <sheet name="品保" sheetId="36" r:id="rId19"/>
  </sheets>
  <externalReferences>
    <externalReference r:id="rId22"/>
  </externalReferences>
  <definedNames>
    <definedName name="_xlnm._FilterDatabase" localSheetId="6" hidden="1">未交清清单!$A$2:$AR$715</definedName>
    <definedName name="_xlnm._FilterDatabase" localSheetId="7" hidden="1">'7月入仓清单'!$A$2:$P$439</definedName>
    <definedName name="_xlnm._FilterDatabase" localSheetId="9" hidden="1">模具及PPAP日报表!$A$4:$U$115</definedName>
    <definedName name="_xlnm._FilterDatabase" localSheetId="11" hidden="1">生产进度日报表B!$A$2:$AT$238</definedName>
    <definedName name="_xlnm._FilterDatabase" localSheetId="17" hidden="1">订单汇总!$A$3:$U$239</definedName>
    <definedName name="_xlnm._FilterDatabase" localSheetId="1" hidden="1">供应商清单!$A$2:$C$2</definedName>
    <definedName name="_xlnm._FilterDatabase" localSheetId="13" hidden="1">周报总控表!#REF!</definedName>
    <definedName name="_xlnm.Print_Area" localSheetId="13">周报总控表!$A$1:$W$48</definedName>
    <definedName name="_xlnm._FilterDatabase" localSheetId="10" hidden="1">生产进度日报表A!$A$4:$V$216</definedName>
  </definedNames>
  <calcPr calcId="144525"/>
  <pivotCaches>
    <pivotCache cacheId="0" r:id="rId20"/>
    <pivotCache cacheId="1" r:id="rId21"/>
  </pivotCaches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60" name="ID_85D0AB9B8E154F2F9686EE536C82577E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330325" y="40570150"/>
          <a:ext cx="681990" cy="721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7" name="ID_345ABA050F4B4A6C957257F841B76BFA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297305" y="45342810"/>
          <a:ext cx="695325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3" name="ID_DE7A6ED5DF2D40978A8472EA9A10DABC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298575" y="42322750"/>
          <a:ext cx="711835" cy="607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2" name="ID_9889F8797F864897837635300E4F0D47"/>
        <xdr:cNvPicPr>
          <a:picLocks noChangeAspect="1" noChangeArrowheads="1"/>
        </xdr:cNvPicPr>
      </xdr:nvPicPr>
      <xdr:blipFill>
        <a:blip r:embed="rId4" cstate="print">
          <a:grayscl/>
        </a:blip>
        <a:stretch>
          <a:fillRect/>
        </a:stretch>
      </xdr:blipFill>
      <xdr:spPr>
        <a:xfrm>
          <a:off x="1280160" y="16078200"/>
          <a:ext cx="473075" cy="4762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27" name="ID_CF0B4773AFAF41ACA247649CE2FA2352"/>
        <xdr:cNvPicPr>
          <a:picLocks noChangeAspect="1" noChangeArrowheads="1"/>
        </xdr:cNvPicPr>
      </xdr:nvPicPr>
      <xdr:blipFill>
        <a:blip r:embed="rId5" cstate="print">
          <a:grayscl/>
        </a:blip>
        <a:srcRect/>
        <a:stretch>
          <a:fillRect/>
        </a:stretch>
      </xdr:blipFill>
      <xdr:spPr>
        <a:xfrm>
          <a:off x="1297940" y="16680815"/>
          <a:ext cx="712470" cy="4235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28" name="ID_C8DEF45D92D849FFB56FC20F6A3D1B76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356360" y="17311370"/>
          <a:ext cx="657860" cy="326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1" name="ID_C52D169D5CF74B2F8EB3AE26C8B3A7DD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338580" y="19538315"/>
          <a:ext cx="674370" cy="471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4" name="ID_1B9BF4F952744EF0897030616DC5098F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312545" y="21530945"/>
          <a:ext cx="584200" cy="536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29" name="ID_F60B28F606FD4FE2AC9D8006F110C73D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1297940" y="17917795"/>
          <a:ext cx="712470" cy="403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7" name="ID_5803D809F4DB4481A99281CA7FFC3E44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280160" y="31431865"/>
          <a:ext cx="728345" cy="466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3" name="ID_3F94EFA430AC49B0AE54C08533D04993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329690" y="20830540"/>
          <a:ext cx="682625" cy="422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1" name="ID_0DAAC51000EE430F83D9687EFBF3AA44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247775" y="34118550"/>
          <a:ext cx="793115" cy="4895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0" name="ID_2A66330C7D7A4497824BCFE3DB7E9973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297940" y="18455640"/>
          <a:ext cx="712470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2" name="ID_C9594911932D4652BEDB20923DCCA36B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307465" y="20161250"/>
          <a:ext cx="707390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9" name="ID_A3EAF52DF75245B4ABF70294D1675C78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370965" y="47295435"/>
          <a:ext cx="600710" cy="604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5" name="ID_2FC115510B1949DC97D252E9BA58DD62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1410970" y="43761660"/>
          <a:ext cx="495300" cy="633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0" name="ID_3D492C4E86634C0BA90A3491AA680DC1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298575" y="33339405"/>
          <a:ext cx="711835" cy="6007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5" name="ID_2F0B16667B07465880A7F828B4076D2A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1288415" y="22273895"/>
          <a:ext cx="579755" cy="820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1" name="ID_76CE179DAF814411915A80D8A3E54BCA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337945" y="26568400"/>
          <a:ext cx="675005" cy="502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6" name="ID_40201F8269274CD998AE3BFC3E5F01CF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330325" y="23390225"/>
          <a:ext cx="681990" cy="420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8" name="ID_7B32266D81744C02AA8599CA27D97CFF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298575" y="38906450"/>
          <a:ext cx="711835" cy="65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6" name="ID_AE8BD6C715C84FADAE5D249F7F1B782D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1320165" y="30418405"/>
          <a:ext cx="69151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7" name="ID_D784F685F334452F839F2DB709CDEE39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1298575" y="23992205"/>
          <a:ext cx="711835" cy="435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9" name="ID_790F087C16084D9FA71385456C5F36F0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1401445" y="39764335"/>
          <a:ext cx="501650" cy="598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5" name="ID_0798052B29DA42A191B17829437A2CFE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1296670" y="36664265"/>
          <a:ext cx="687070" cy="688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8" name="ID_344CB4D7039D42D79D6C175CD5638DDC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1350645" y="24631650"/>
          <a:ext cx="663575" cy="356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6" name="ID_8270BC2BD19D4F289742869FBFD23088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1320800" y="37554535"/>
          <a:ext cx="687070" cy="532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2" name="ID_2405D90ED4F140C287142DA9718216EE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1298575" y="34764345"/>
          <a:ext cx="711835" cy="477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4" name="ID_E7C1312425774AFF9C0AA0B479533096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1290955" y="28689300"/>
          <a:ext cx="612775" cy="692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2" name="ID_46BF8F954DB44189911C6F34012BB55B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1306830" y="27242135"/>
          <a:ext cx="704215" cy="5695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39" name="ID_16C6762017D247878E7B51E14C60A7E7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1390015" y="25124410"/>
          <a:ext cx="471805" cy="532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7" name="ID_3F460E2F7F3946019666C896611382FD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1320165" y="38249860"/>
          <a:ext cx="682625" cy="478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5" name="ID_6144E4D3BBCB4C4B9E89EF1A70924D3B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1391920" y="29590365"/>
          <a:ext cx="625475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0" name="ID_7640A0FC3AEF4E758BC5908C3B05AF72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1459230" y="25817830"/>
          <a:ext cx="386715" cy="574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3" name="ID_F1F482F4BE5E45C199C4CD2D20BBCF88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1349375" y="28018105"/>
          <a:ext cx="69088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8" name="ID_546D059BF6404B52B40699F61C0E370E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1438275" y="46546135"/>
          <a:ext cx="48514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4" name="ID_6976DC8330DB40C88FC16B35C43C5230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1294765" y="43197145"/>
          <a:ext cx="715010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8" name="ID_2E00D8934DB848D1AC6C9911FE494DFF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1298575" y="32170370"/>
          <a:ext cx="711835" cy="384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70" name="ID_8C7A4FDAB6B14D53A417746CDC598545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1298575" y="48179990"/>
          <a:ext cx="709295" cy="340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6" name="ID_086D7D0FFB8448FB80CE8D3AE50EA887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1274445" y="44550330"/>
          <a:ext cx="734060" cy="576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49" name="ID_A4C37B48D3794BB0B774C9854D91160D"/>
        <xdr:cNvPicPr>
          <a:picLocks noChangeAspect="1" noChangeArrowheads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1308735" y="32705040"/>
          <a:ext cx="717550" cy="471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3" name="ID_B62D1B622672411695D1DF01CE90E1B1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1298575" y="35396170"/>
          <a:ext cx="711835" cy="464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61" name="ID_F66F99F391B34FE9AE0D1E8A234D025D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1298575" y="41507410"/>
          <a:ext cx="711835" cy="630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54" name="ID_49EA8BE26CCD491FB78F4B2798640BD2"/>
        <xdr:cNvPicPr>
          <a:picLocks noChangeAspect="1" noChangeArrowheads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1322070" y="36011485"/>
          <a:ext cx="698500" cy="4489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37" name="ID_D3ABFED19D004BCB8681E085A56C632F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540000" y="19181445"/>
          <a:ext cx="839470" cy="3898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D96E429FC29943849CF37EBC872B9955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539365" y="704215"/>
          <a:ext cx="831850" cy="498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3906EEEDD09441DAAA39D6593024CBC2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542540" y="1353820"/>
          <a:ext cx="869950" cy="3981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53F781FF93E34B0BAF73399951E4255E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2534285" y="2071370"/>
          <a:ext cx="772795" cy="486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EC06DF4623344B4596C779F41B6D257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2541905" y="2753360"/>
          <a:ext cx="858520" cy="476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9329888B5FBA4A058C902B4C5F4373BB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520950" y="3443605"/>
          <a:ext cx="631190" cy="488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C7AF594476A2443F8A3312BA2F26EE9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505710" y="4134485"/>
          <a:ext cx="461645" cy="503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38023E46361A43A3B29AF344B1943F3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540635" y="4768215"/>
          <a:ext cx="849630" cy="358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1030B51CAA3246999D1DA686EF72F31F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522855" y="5496560"/>
          <a:ext cx="652780" cy="4768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B3FCCCBFC3D94708AD032AE18BAE8A9E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543175" y="6162040"/>
          <a:ext cx="874395" cy="418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F6B90FB212D341A888D8083C8703976E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2522220" y="6870065"/>
          <a:ext cx="643255" cy="4832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8690CA517C3F490E86C83053304140FA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2543175" y="7517130"/>
          <a:ext cx="873125" cy="3740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FCC36832B0E54901B2452825CE371F81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2542540" y="8241665"/>
          <a:ext cx="866775" cy="481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866A66A7A28843DDBCB557398121B03A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2542540" y="8927465"/>
          <a:ext cx="866775" cy="481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A136C690163742CFA00E5B1FF0AEA71C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2537460" y="9617075"/>
          <a:ext cx="810895" cy="492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2ADEE1CA5CC14E438DAEE8541C920017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2542540" y="10290810"/>
          <a:ext cx="867410" cy="459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3CEBA93D765B4FBAA5E274A96069DF55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2543175" y="10970895"/>
          <a:ext cx="875665" cy="442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8B4BF3F51D154B668EA98320C5459BC9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2536190" y="11672570"/>
          <a:ext cx="798830" cy="487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3870E3B32832447ABE7A4A5D7B8D98C8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2508250" y="12359005"/>
          <a:ext cx="492125" cy="490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CB9FD69F5D294140BE8FF9E20CCA2F6C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2538095" y="13046710"/>
          <a:ext cx="816610" cy="4933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C5375A5FE9E248429F0D3411CAAF029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2519045" y="13730605"/>
          <a:ext cx="610870" cy="490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B213A83B2D364F57BC4BB4F638F63561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2528570" y="14417040"/>
          <a:ext cx="711200" cy="488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252CCE38F9AB45EDA544ACD1192238CA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 rot="16200000">
          <a:off x="2709545" y="14983460"/>
          <a:ext cx="471805" cy="752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C77F2B18F9C44C7DAF2C02F35E0840AB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2543175" y="15761335"/>
          <a:ext cx="876935" cy="413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11DA71D972564F9AB94CC1159F786A81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2542540" y="16449040"/>
          <a:ext cx="869950" cy="4184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0A8D89A83B624A968200DC2E66FC3C80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2529840" y="17157065"/>
          <a:ext cx="723900" cy="480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02A1A2168C1643D89808254B24852B17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2541905" y="17840960"/>
          <a:ext cx="862330" cy="451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1DFF78785CC04C21A5B6A019901ED453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2533650" y="18534380"/>
          <a:ext cx="770255" cy="498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A80FFD4DF49D4539977DCE8917DB21F5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2540000" y="19852640"/>
          <a:ext cx="843280" cy="348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56D439D1833E42FFAFAC39DCBED0BBAA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2540635" y="21255990"/>
          <a:ext cx="849630" cy="439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BA2B5655CA9F4568B274880EF64A794C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2532380" y="21941155"/>
          <a:ext cx="863600" cy="434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DF91D9615B3C4D02806B67081925C2B0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2537460" y="22637750"/>
          <a:ext cx="807720" cy="4654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71DB3D64CD7F434BAEBFA51C469A50FF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2526665" y="23331805"/>
          <a:ext cx="694690" cy="489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039D5D3CF77041E8A8E626BD765AF290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2517140" y="24022685"/>
          <a:ext cx="582930" cy="503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4F862D15E1624914919CCA9C7A3BCD29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1508125" y="8991600"/>
          <a:ext cx="530860" cy="521970"/>
        </a:xfrm>
        <a:prstGeom prst="rect">
          <a:avLst/>
        </a:prstGeom>
      </xdr:spPr>
    </xdr:pic>
  </etc:cellImage>
  <etc:cellImage>
    <xdr:pic>
      <xdr:nvPicPr>
        <xdr:cNvPr id="72" name="ID_0F43F35DD3884E9B8B0A0D86826E0E1B"/>
        <xdr:cNvPicPr>
          <a:picLocks noChangeAspect="1"/>
        </xdr:cNvPicPr>
      </xdr:nvPicPr>
      <xdr:blipFill>
        <a:blip r:embed="rId79" cstate="print"/>
        <a:stretch>
          <a:fillRect/>
        </a:stretch>
      </xdr:blipFill>
      <xdr:spPr>
        <a:xfrm>
          <a:off x="1475105" y="10242550"/>
          <a:ext cx="464820" cy="477520"/>
        </a:xfrm>
        <a:prstGeom prst="rect">
          <a:avLst/>
        </a:prstGeom>
      </xdr:spPr>
    </xdr:pic>
  </etc:cellImage>
  <etc:cellImage>
    <xdr:pic>
      <xdr:nvPicPr>
        <xdr:cNvPr id="73" name="ID_D1BE939F3F4E447C8D8FE3586D1FAA32"/>
        <xdr:cNvPicPr>
          <a:picLocks noChangeAspect="1"/>
        </xdr:cNvPicPr>
      </xdr:nvPicPr>
      <xdr:blipFill>
        <a:blip r:embed="rId80" cstate="print"/>
        <a:stretch>
          <a:fillRect/>
        </a:stretch>
      </xdr:blipFill>
      <xdr:spPr>
        <a:xfrm>
          <a:off x="1314450" y="14015085"/>
          <a:ext cx="651510" cy="479425"/>
        </a:xfrm>
        <a:prstGeom prst="rect">
          <a:avLst/>
        </a:prstGeom>
      </xdr:spPr>
    </xdr:pic>
  </etc:cellImage>
  <etc:cellImage>
    <xdr:pic>
      <xdr:nvPicPr>
        <xdr:cNvPr id="74" name="ID_F10EF5CC4F7F4592905C7A731A22D681"/>
        <xdr:cNvPicPr>
          <a:picLocks noChangeAspect="1" noChangeArrowheads="1"/>
        </xdr:cNvPicPr>
      </xdr:nvPicPr>
      <xdr:blipFill>
        <a:blip r:embed="rId81" cstate="print"/>
        <a:srcRect/>
        <a:stretch>
          <a:fillRect/>
        </a:stretch>
      </xdr:blipFill>
      <xdr:spPr>
        <a:xfrm>
          <a:off x="1422400" y="15199995"/>
          <a:ext cx="584200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75" name="ID_6FDD7703F6FE4ADA9ED5FE0561BA4223"/>
        <xdr:cNvPicPr>
          <a:picLocks noChangeAspect="1" noChangeArrowheads="1"/>
        </xdr:cNvPicPr>
      </xdr:nvPicPr>
      <xdr:blipFill>
        <a:blip r:embed="rId82" cstate="print"/>
        <a:srcRect/>
        <a:stretch>
          <a:fillRect/>
        </a:stretch>
      </xdr:blipFill>
      <xdr:spPr>
        <a:xfrm>
          <a:off x="1365250" y="16443325"/>
          <a:ext cx="661035" cy="48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76" name="ID_C373B3BF59CD4989B08EFEDE790C9C90"/>
        <xdr:cNvPicPr>
          <a:picLocks noChangeAspect="1"/>
        </xdr:cNvPicPr>
      </xdr:nvPicPr>
      <xdr:blipFill>
        <a:blip r:embed="rId83" cstate="print"/>
        <a:stretch>
          <a:fillRect/>
        </a:stretch>
      </xdr:blipFill>
      <xdr:spPr>
        <a:xfrm>
          <a:off x="1534795" y="17110710"/>
          <a:ext cx="391795" cy="463550"/>
        </a:xfrm>
        <a:prstGeom prst="rect">
          <a:avLst/>
        </a:prstGeom>
      </xdr:spPr>
    </xdr:pic>
  </etc:cellImage>
  <etc:cellImage>
    <xdr:pic>
      <xdr:nvPicPr>
        <xdr:cNvPr id="77" name="ID_31801B48B42F4DC490862187F65A8C2C"/>
        <xdr:cNvPicPr>
          <a:picLocks noChangeAspect="1"/>
        </xdr:cNvPicPr>
      </xdr:nvPicPr>
      <xdr:blipFill>
        <a:blip r:embed="rId84" cstate="print"/>
        <a:stretch>
          <a:fillRect/>
        </a:stretch>
      </xdr:blipFill>
      <xdr:spPr>
        <a:xfrm>
          <a:off x="1449070" y="17745710"/>
          <a:ext cx="454025" cy="427355"/>
        </a:xfrm>
        <a:prstGeom prst="rect">
          <a:avLst/>
        </a:prstGeom>
      </xdr:spPr>
    </xdr:pic>
  </etc:cellImage>
  <etc:cellImage>
    <xdr:pic>
      <xdr:nvPicPr>
        <xdr:cNvPr id="78" name="ID_2C8B3FC2AD61416CA3962A633E3CAF04"/>
        <xdr:cNvPicPr>
          <a:picLocks noChangeAspect="1"/>
        </xdr:cNvPicPr>
      </xdr:nvPicPr>
      <xdr:blipFill>
        <a:blip r:embed="rId85" cstate="print"/>
        <a:stretch>
          <a:fillRect/>
        </a:stretch>
      </xdr:blipFill>
      <xdr:spPr>
        <a:xfrm>
          <a:off x="1283970" y="19578955"/>
          <a:ext cx="611505" cy="501015"/>
        </a:xfrm>
        <a:prstGeom prst="rect">
          <a:avLst/>
        </a:prstGeom>
      </xdr:spPr>
    </xdr:pic>
  </etc:cellImage>
  <etc:cellImage>
    <xdr:pic>
      <xdr:nvPicPr>
        <xdr:cNvPr id="79" name="ID_B87C44BC41AC4FFB9640F29080943F55"/>
        <xdr:cNvPicPr>
          <a:picLocks noChangeAspect="1"/>
        </xdr:cNvPicPr>
      </xdr:nvPicPr>
      <xdr:blipFill>
        <a:blip r:embed="rId86" cstate="print"/>
        <a:stretch>
          <a:fillRect/>
        </a:stretch>
      </xdr:blipFill>
      <xdr:spPr>
        <a:xfrm>
          <a:off x="1337945" y="20844510"/>
          <a:ext cx="509905" cy="474980"/>
        </a:xfrm>
        <a:prstGeom prst="rect">
          <a:avLst/>
        </a:prstGeom>
      </xdr:spPr>
    </xdr:pic>
  </etc:cellImage>
  <etc:cellImage>
    <xdr:pic>
      <xdr:nvPicPr>
        <xdr:cNvPr id="80" name="ID_CE6A599157374525870B76959DB54CF4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1430020" y="22665055"/>
          <a:ext cx="530860" cy="521970"/>
        </a:xfrm>
        <a:prstGeom prst="rect">
          <a:avLst/>
        </a:prstGeom>
      </xdr:spPr>
    </xdr:pic>
  </etc:cellImage>
  <etc:cellImage>
    <xdr:pic>
      <xdr:nvPicPr>
        <xdr:cNvPr id="81" name="ID_99431C0CD308429C9CB7FC003E959668"/>
        <xdr:cNvPicPr>
          <a:picLocks noChangeAspect="1"/>
        </xdr:cNvPicPr>
      </xdr:nvPicPr>
      <xdr:blipFill>
        <a:blip r:embed="rId87" cstate="print"/>
        <a:stretch>
          <a:fillRect/>
        </a:stretch>
      </xdr:blipFill>
      <xdr:spPr>
        <a:xfrm>
          <a:off x="1522095" y="23366730"/>
          <a:ext cx="537210" cy="446405"/>
        </a:xfrm>
        <a:prstGeom prst="rect">
          <a:avLst/>
        </a:prstGeom>
      </xdr:spPr>
    </xdr:pic>
  </etc:cellImage>
  <etc:cellImage>
    <xdr:pic>
      <xdr:nvPicPr>
        <xdr:cNvPr id="82" name="ID_DBE9FF1DDD8B4594886D153EFB9358DC"/>
        <xdr:cNvPicPr>
          <a:picLocks noChangeAspect="1"/>
        </xdr:cNvPicPr>
      </xdr:nvPicPr>
      <xdr:blipFill>
        <a:blip r:embed="rId88" cstate="print"/>
        <a:stretch>
          <a:fillRect/>
        </a:stretch>
      </xdr:blipFill>
      <xdr:spPr>
        <a:xfrm>
          <a:off x="1521460" y="23980775"/>
          <a:ext cx="516255" cy="442595"/>
        </a:xfrm>
        <a:prstGeom prst="rect">
          <a:avLst/>
        </a:prstGeom>
      </xdr:spPr>
    </xdr:pic>
  </etc:cellImage>
  <etc:cellImage>
    <xdr:pic>
      <xdr:nvPicPr>
        <xdr:cNvPr id="83" name="ID_9A7A2D4CBDB44608A54669911F5841D5"/>
        <xdr:cNvPicPr>
          <a:picLocks noChangeAspect="1" noChangeArrowheads="1"/>
        </xdr:cNvPicPr>
      </xdr:nvPicPr>
      <xdr:blipFill>
        <a:blip r:embed="rId89" cstate="print"/>
        <a:srcRect/>
        <a:stretch>
          <a:fillRect/>
        </a:stretch>
      </xdr:blipFill>
      <xdr:spPr>
        <a:xfrm>
          <a:off x="1362710" y="24575770"/>
          <a:ext cx="688340" cy="471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</etc:cellImages>
</file>

<file path=xl/comments1.xml><?xml version="1.0" encoding="utf-8"?>
<comments xmlns="http://schemas.openxmlformats.org/spreadsheetml/2006/main">
  <authors>
    <author>weicheng.li</author>
    <author>xuehua.li</author>
  </authors>
  <commentList>
    <comment ref="M2" authorId="0">
      <text>
        <r>
          <rPr>
            <sz val="14"/>
            <rFont val="宋体"/>
            <charset val="134"/>
          </rPr>
          <t>入库过帐数</t>
        </r>
      </text>
    </comment>
    <comment ref="N2" authorId="0">
      <text>
        <r>
          <rPr>
            <sz val="14"/>
            <rFont val="宋体"/>
            <charset val="134"/>
          </rPr>
          <t>入库过帐数</t>
        </r>
      </text>
    </comment>
    <comment ref="O2" authorId="0">
      <text>
        <r>
          <rPr>
            <sz val="14"/>
            <rFont val="宋体"/>
            <charset val="134"/>
          </rPr>
          <t>入库过帐数</t>
        </r>
      </text>
    </comment>
    <comment ref="E28" authorId="1">
      <text>
        <r>
          <rPr>
            <b/>
            <sz val="11"/>
            <rFont val="宋体"/>
            <charset val="134"/>
          </rPr>
          <t>2020年授予：22款</t>
        </r>
      </text>
    </comment>
    <comment ref="F28" authorId="1">
      <text>
        <r>
          <rPr>
            <b/>
            <sz val="11"/>
            <rFont val="宋体"/>
            <charset val="134"/>
          </rPr>
          <t>2020年授予：22款</t>
        </r>
      </text>
    </comment>
    <comment ref="G28" authorId="1">
      <text>
        <r>
          <rPr>
            <b/>
            <sz val="11"/>
            <rFont val="宋体"/>
            <charset val="134"/>
          </rPr>
          <t>2020年授予：22款</t>
        </r>
      </text>
    </comment>
    <comment ref="E39" authorId="1">
      <text>
        <r>
          <rPr>
            <b/>
            <sz val="11"/>
            <rFont val="宋体"/>
            <charset val="134"/>
          </rPr>
          <t>2020年授予：14款
2021年授予：8款</t>
        </r>
      </text>
    </comment>
    <comment ref="E40" authorId="1">
      <text>
        <r>
          <rPr>
            <b/>
            <sz val="11"/>
            <rFont val="宋体"/>
            <charset val="134"/>
          </rPr>
          <t>5C0Z0327CP</t>
        </r>
      </text>
    </comment>
    <comment ref="E41" authorId="1">
      <text>
        <r>
          <rPr>
            <b/>
            <sz val="11"/>
            <rFont val="宋体"/>
            <charset val="134"/>
          </rPr>
          <t>5C0Z0327CP</t>
        </r>
      </text>
    </comment>
    <comment ref="E45" authorId="1">
      <text>
        <r>
          <rPr>
            <b/>
            <sz val="11"/>
            <rFont val="宋体"/>
            <charset val="134"/>
          </rPr>
          <t>2020年授予：36款</t>
        </r>
      </text>
    </comment>
  </commentList>
</comments>
</file>

<file path=xl/comments2.xml><?xml version="1.0" encoding="utf-8"?>
<comments xmlns="http://schemas.openxmlformats.org/spreadsheetml/2006/main">
  <authors>
    <author>weicheng.li</author>
    <author>xuehua.li</author>
    <author>42.GF.PMC中心.黎伟成</author>
  </authors>
  <commentList>
    <comment ref="B2" authorId="0">
      <text>
        <r>
          <rPr>
            <sz val="14"/>
            <rFont val="宋体"/>
            <charset val="134"/>
          </rPr>
          <t>珊瑚10款重复料号</t>
        </r>
      </text>
    </comment>
    <comment ref="S25" authorId="1">
      <text>
        <r>
          <rPr>
            <sz val="14"/>
            <rFont val="宋体"/>
            <charset val="134"/>
          </rPr>
          <t xml:space="preserve">PPAP没OK， 总表下单里减
</t>
        </r>
      </text>
    </comment>
    <comment ref="C86" authorId="0">
      <text>
        <r>
          <rPr>
            <sz val="9"/>
            <rFont val="宋体"/>
            <charset val="134"/>
          </rPr>
          <t>20210612 交PN件</t>
        </r>
      </text>
    </comment>
    <comment ref="B110" authorId="0">
      <text>
        <r>
          <rPr>
            <sz val="14"/>
            <rFont val="宋体"/>
            <charset val="134"/>
          </rPr>
          <t>已统计在CP料号</t>
        </r>
      </text>
    </comment>
    <comment ref="B112" authorId="0">
      <text>
        <r>
          <rPr>
            <sz val="14"/>
            <rFont val="宋体"/>
            <charset val="134"/>
          </rPr>
          <t>已统计在CP料号</t>
        </r>
      </text>
    </comment>
    <comment ref="B114" authorId="0">
      <text>
        <r>
          <rPr>
            <sz val="14"/>
            <rFont val="宋体"/>
            <charset val="134"/>
          </rPr>
          <t>已统计在CP料号</t>
        </r>
      </text>
    </comment>
    <comment ref="B117" authorId="0">
      <text>
        <r>
          <rPr>
            <sz val="14"/>
            <rFont val="宋体"/>
            <charset val="134"/>
          </rPr>
          <t>已统计在CP料号</t>
        </r>
      </text>
    </comment>
    <comment ref="C118" authorId="0">
      <text>
        <r>
          <rPr>
            <sz val="9"/>
            <rFont val="宋体"/>
            <charset val="134"/>
          </rPr>
          <t>20210612 交PN件</t>
        </r>
      </text>
    </comment>
    <comment ref="B122" authorId="0">
      <text>
        <r>
          <rPr>
            <sz val="14"/>
            <rFont val="宋体"/>
            <charset val="134"/>
          </rPr>
          <t>已统计在CP料号</t>
        </r>
      </text>
    </comment>
    <comment ref="B126" authorId="0">
      <text>
        <r>
          <rPr>
            <sz val="14"/>
            <rFont val="宋体"/>
            <charset val="134"/>
          </rPr>
          <t>已统计在CP料号</t>
        </r>
      </text>
    </comment>
    <comment ref="B128" authorId="0">
      <text>
        <r>
          <rPr>
            <sz val="14"/>
            <rFont val="宋体"/>
            <charset val="134"/>
          </rPr>
          <t>已统计在CP料号</t>
        </r>
      </text>
    </comment>
    <comment ref="B132" authorId="0">
      <text>
        <r>
          <rPr>
            <sz val="14"/>
            <rFont val="宋体"/>
            <charset val="134"/>
          </rPr>
          <t>已统计在CP料号</t>
        </r>
      </text>
    </comment>
    <comment ref="B133" authorId="0">
      <text>
        <r>
          <rPr>
            <sz val="14"/>
            <rFont val="宋体"/>
            <charset val="134"/>
          </rPr>
          <t>已统计在CP料号</t>
        </r>
      </text>
    </comment>
    <comment ref="S138" authorId="1">
      <text>
        <r>
          <rPr>
            <sz val="14"/>
            <rFont val="宋体"/>
            <charset val="134"/>
          </rPr>
          <t xml:space="preserve">PPAP没OK， 总表下单里减
</t>
        </r>
      </text>
    </comment>
    <comment ref="B187" authorId="2">
      <text>
        <r>
          <rPr>
            <b/>
            <sz val="9"/>
            <rFont val="宋体"/>
            <charset val="134"/>
          </rPr>
          <t>2021-6-26通知退模具回珠海</t>
        </r>
      </text>
    </comment>
    <comment ref="O190" authorId="0">
      <text>
        <r>
          <rPr>
            <sz val="9"/>
            <rFont val="宋体"/>
            <charset val="134"/>
          </rPr>
          <t>20210610
@刘快军 刘厂好，2195整套模具已经让钟彬带过去了，下次发模请贵司过来拉模，请加速打样交样，谢谢！</t>
        </r>
      </text>
    </comment>
  </commentList>
</comments>
</file>

<file path=xl/sharedStrings.xml><?xml version="1.0" encoding="utf-8"?>
<sst xmlns="http://schemas.openxmlformats.org/spreadsheetml/2006/main" count="21375" uniqueCount="993">
  <si>
    <t>供应商清单</t>
  </si>
  <si>
    <t>连接</t>
  </si>
  <si>
    <t>基础资料</t>
  </si>
  <si>
    <t>订单汇总</t>
  </si>
  <si>
    <t>未交订单明细表</t>
  </si>
  <si>
    <t>7月已入仓明细</t>
  </si>
  <si>
    <t>授予清单</t>
  </si>
  <si>
    <t>海鸥未交清</t>
  </si>
  <si>
    <t>承鸥未交清</t>
  </si>
  <si>
    <t>量产进度日报表</t>
  </si>
  <si>
    <t>每天汇报4张表内容</t>
  </si>
  <si>
    <t>生产计划日报表</t>
  </si>
  <si>
    <t>模具及PPAP日报表</t>
  </si>
  <si>
    <t>供应商每日情报收集</t>
  </si>
  <si>
    <t>返回</t>
  </si>
  <si>
    <t>供应商名称</t>
  </si>
  <si>
    <t>简称</t>
  </si>
  <si>
    <t>分组</t>
  </si>
  <si>
    <t>开平市中扬卫浴有限公司</t>
  </si>
  <si>
    <t>中扬</t>
  </si>
  <si>
    <t>B</t>
  </si>
  <si>
    <t>开平市中雅压铸卫浴有限公司</t>
  </si>
  <si>
    <t>中雅</t>
  </si>
  <si>
    <t>开平市五金天沃制品有限公司</t>
  </si>
  <si>
    <t>天沃</t>
  </si>
  <si>
    <t>开平市珊瑚卫浴实业有限公司</t>
  </si>
  <si>
    <t>珊瑚</t>
  </si>
  <si>
    <t>A</t>
  </si>
  <si>
    <t>开平市汇航五金制品有限公司</t>
  </si>
  <si>
    <t>汇航</t>
  </si>
  <si>
    <t>开平市翰森卫浴有限公司</t>
  </si>
  <si>
    <t>翰森</t>
  </si>
  <si>
    <t>开平市迪朗五金塑料制品有限公司</t>
  </si>
  <si>
    <t>迪朗</t>
  </si>
  <si>
    <t>开平市大长今五金制品有限公司</t>
  </si>
  <si>
    <t>大长今</t>
  </si>
  <si>
    <t>开平东航压铸卫浴有限公司</t>
  </si>
  <si>
    <t>东航</t>
  </si>
  <si>
    <t>广州优云机械制造有限责任公司</t>
  </si>
  <si>
    <t>优云</t>
  </si>
  <si>
    <t>广州镒沣金属制品有限公司</t>
  </si>
  <si>
    <t>镒沣</t>
  </si>
  <si>
    <t>广州市众博金属制品有限公司</t>
  </si>
  <si>
    <t>众博</t>
  </si>
  <si>
    <t>无</t>
  </si>
  <si>
    <t>东莞市荣亿五金制造有限公司</t>
  </si>
  <si>
    <t>荣亿</t>
  </si>
  <si>
    <t>漳州前洋洁具科技有限公司</t>
  </si>
  <si>
    <t>前洋</t>
  </si>
  <si>
    <t>金淼卫浴(江门)有限公司</t>
  </si>
  <si>
    <t>金淼</t>
  </si>
  <si>
    <t>广东顶尖管业科技有限公司</t>
  </si>
  <si>
    <t>顶尖</t>
  </si>
  <si>
    <t>江门市东睿科技有限公司</t>
  </si>
  <si>
    <t>东睿</t>
  </si>
  <si>
    <t>开平市联洋卫浴配件有限公司</t>
  </si>
  <si>
    <t>联洋</t>
  </si>
  <si>
    <t>业务实体</t>
  </si>
  <si>
    <t>广州海鸥住宅工业股份有限公司</t>
  </si>
  <si>
    <t>月份</t>
  </si>
  <si>
    <t>7月</t>
  </si>
  <si>
    <t>供应商简称</t>
  </si>
  <si>
    <t>物料编码</t>
  </si>
  <si>
    <t>求和项:最终未交清数量</t>
  </si>
  <si>
    <t>6F273601PN</t>
  </si>
  <si>
    <t>6F273801PN</t>
  </si>
  <si>
    <t>6F150801PN</t>
  </si>
  <si>
    <t>6F208201PN</t>
  </si>
  <si>
    <t>6F208501PN</t>
  </si>
  <si>
    <t>6F217701PN</t>
  </si>
  <si>
    <t>5C0073400PN0</t>
  </si>
  <si>
    <t>5C0080500PN0</t>
  </si>
  <si>
    <t>5C0081300PN0</t>
  </si>
  <si>
    <t>6F166601PN</t>
  </si>
  <si>
    <t>6F207401PN</t>
  </si>
  <si>
    <t>6F257401PN</t>
  </si>
  <si>
    <t>59011402CP</t>
  </si>
  <si>
    <t>5C0006000CP0A0</t>
  </si>
  <si>
    <t>5C0008500CP0A0</t>
  </si>
  <si>
    <t>5C0008500CP0A1</t>
  </si>
  <si>
    <t>5C0062500CP0A1</t>
  </si>
  <si>
    <t>5C0062500CP0A4</t>
  </si>
  <si>
    <t>5C0074500CP0</t>
  </si>
  <si>
    <t>5C0077400CP0A2</t>
  </si>
  <si>
    <t>5C0079500CP0</t>
  </si>
  <si>
    <t>5C0092000CP0A0</t>
  </si>
  <si>
    <t>5C0095900CP0</t>
  </si>
  <si>
    <t>5C0Z0311CP</t>
  </si>
  <si>
    <t>5C0Z0411CP</t>
  </si>
  <si>
    <t>5C0Z0444CP</t>
  </si>
  <si>
    <t>5N0057300CP0</t>
  </si>
  <si>
    <t>5N0062100PN0</t>
  </si>
  <si>
    <t>5N0Z0020PN</t>
  </si>
  <si>
    <t>6F116501PN</t>
  </si>
  <si>
    <t>6F219201PN</t>
  </si>
  <si>
    <t>6F151101PN</t>
  </si>
  <si>
    <t>6F160501PN</t>
  </si>
  <si>
    <t>6F247401PN</t>
  </si>
  <si>
    <t>6F254401PN</t>
  </si>
  <si>
    <t>6F218601PN</t>
  </si>
  <si>
    <t>6F231401PN</t>
  </si>
  <si>
    <t>5C0056400PN0</t>
  </si>
  <si>
    <t>5C0Z0327CP</t>
  </si>
  <si>
    <t>6F218701PN</t>
  </si>
  <si>
    <t>总计</t>
  </si>
  <si>
    <t>珠海承鸥卫浴用品有限公司</t>
  </si>
  <si>
    <t>6F038501PN</t>
  </si>
  <si>
    <t>6F051401PN</t>
  </si>
  <si>
    <t>6F099101PN</t>
  </si>
  <si>
    <t>6F156201PN</t>
  </si>
  <si>
    <t>6F163601PN</t>
  </si>
  <si>
    <t>6F187601PN</t>
  </si>
  <si>
    <t>6F219001PN</t>
  </si>
  <si>
    <t>6F225901PN</t>
  </si>
  <si>
    <t>6F233101PN</t>
  </si>
  <si>
    <t>6F236101PN</t>
  </si>
  <si>
    <t>6F239001PN</t>
  </si>
  <si>
    <t>6F251201PN</t>
  </si>
  <si>
    <t>6F273901PN</t>
  </si>
  <si>
    <t>6F278001PN</t>
  </si>
  <si>
    <t>6F031001PN</t>
  </si>
  <si>
    <t>6F031101PN</t>
  </si>
  <si>
    <t>6F122601NT</t>
  </si>
  <si>
    <t>6F168901NT</t>
  </si>
  <si>
    <t>6F188101NT</t>
  </si>
  <si>
    <t>6F196601NT</t>
  </si>
  <si>
    <t>6F199901NT</t>
  </si>
  <si>
    <t>6F207501NT</t>
  </si>
  <si>
    <t>6F211701NT</t>
  </si>
  <si>
    <t>6F211801NT</t>
  </si>
  <si>
    <t>6F212301NT</t>
  </si>
  <si>
    <t>6F221101NT</t>
  </si>
  <si>
    <t>6F236901NT</t>
  </si>
  <si>
    <t>6F270801NT</t>
  </si>
  <si>
    <t>6F271801NT</t>
  </si>
  <si>
    <t>6F273701NT</t>
  </si>
  <si>
    <t>6F275301NT</t>
  </si>
  <si>
    <t>6F279901NT</t>
  </si>
  <si>
    <t>6F280001NT</t>
  </si>
  <si>
    <t>6F280101NT</t>
  </si>
  <si>
    <t>6F286601NT</t>
  </si>
  <si>
    <t>681074012PN</t>
  </si>
  <si>
    <t>6F010301PN</t>
  </si>
  <si>
    <t>6F010501PN</t>
  </si>
  <si>
    <t>6F052701PN</t>
  </si>
  <si>
    <t>6F059501CP</t>
  </si>
  <si>
    <t>6F103301CP</t>
  </si>
  <si>
    <t>6F146301PN</t>
  </si>
  <si>
    <t>6F185901CP</t>
  </si>
  <si>
    <t>6F205201CP</t>
  </si>
  <si>
    <t>6F219101CP</t>
  </si>
  <si>
    <t>6F234101CP</t>
  </si>
  <si>
    <t>6F241201CP</t>
  </si>
  <si>
    <t>6F248901PN</t>
  </si>
  <si>
    <t>6F263001ALN</t>
  </si>
  <si>
    <t>6F263001CP</t>
  </si>
  <si>
    <t>6F267001CP</t>
  </si>
  <si>
    <t>6F267001NT</t>
  </si>
  <si>
    <t>6F267001PN</t>
  </si>
  <si>
    <t>6F271101ALN</t>
  </si>
  <si>
    <t>6F271101CP</t>
  </si>
  <si>
    <t>6F271701CP</t>
  </si>
  <si>
    <t>5C0062900PN0</t>
  </si>
  <si>
    <t>6F122401PN</t>
  </si>
  <si>
    <t>6F137001PN</t>
  </si>
  <si>
    <t>6F191801PN</t>
  </si>
  <si>
    <t>6F197201PN</t>
  </si>
  <si>
    <t>6F217101PN</t>
  </si>
  <si>
    <t>6F219501PN</t>
  </si>
  <si>
    <t>6F226701PN</t>
  </si>
  <si>
    <t>6F226901PN</t>
  </si>
  <si>
    <t>6F238701PN</t>
  </si>
  <si>
    <t>6F277501PN</t>
  </si>
  <si>
    <t>6F932701PN</t>
  </si>
  <si>
    <t>番禺</t>
  </si>
  <si>
    <t>类型</t>
  </si>
  <si>
    <t>PN</t>
  </si>
  <si>
    <t>物料号</t>
  </si>
  <si>
    <t>求和项:数量</t>
  </si>
  <si>
    <t>采购订单号</t>
  </si>
  <si>
    <t>采购订单创建日期</t>
  </si>
  <si>
    <t>接收关闭状态</t>
  </si>
  <si>
    <t>采购员</t>
  </si>
  <si>
    <t>订单行号</t>
  </si>
  <si>
    <t>物料描述</t>
  </si>
  <si>
    <t>物料单位</t>
  </si>
  <si>
    <t>采购数量</t>
  </si>
  <si>
    <t>需求日期</t>
  </si>
  <si>
    <t>承诺日期</t>
  </si>
  <si>
    <t>子库</t>
  </si>
  <si>
    <t>海关手册号</t>
  </si>
  <si>
    <t>海关手册项号</t>
  </si>
  <si>
    <t>暂收数量(发运行汇总数量)</t>
  </si>
  <si>
    <t>已检验数量(发运行汇总数量)</t>
  </si>
  <si>
    <t>检验不合格数量(发运行汇总数量)</t>
  </si>
  <si>
    <t>入库数量</t>
  </si>
  <si>
    <t>开票数量</t>
  </si>
  <si>
    <t>未交清数量</t>
  </si>
  <si>
    <t>最终未交清数量</t>
  </si>
  <si>
    <t>生产退货数量</t>
  </si>
  <si>
    <t>采购申请号</t>
  </si>
  <si>
    <t>采购申请人</t>
  </si>
  <si>
    <t>客户PO</t>
  </si>
  <si>
    <t>运输方式</t>
  </si>
  <si>
    <t>最后暂收时间</t>
  </si>
  <si>
    <t>最后入库时间</t>
  </si>
  <si>
    <t>币种</t>
  </si>
  <si>
    <t>组装部门</t>
  </si>
  <si>
    <t>生产部门</t>
  </si>
  <si>
    <t>旧料号</t>
  </si>
  <si>
    <t>接收子库代码</t>
  </si>
  <si>
    <t>接收子库名称</t>
  </si>
  <si>
    <t>加工要求（备注）</t>
  </si>
  <si>
    <t>关闭状态</t>
  </si>
  <si>
    <t>收货组织</t>
  </si>
  <si>
    <t>供应商地点</t>
  </si>
  <si>
    <t>税率</t>
  </si>
  <si>
    <t>采购单别</t>
  </si>
  <si>
    <t>打开</t>
  </si>
  <si>
    <t>王亚军,</t>
  </si>
  <si>
    <t>把手//3#锌合金</t>
  </si>
  <si>
    <t>PCS</t>
  </si>
  <si>
    <t>T000</t>
  </si>
  <si>
    <t>CNY</t>
  </si>
  <si>
    <t>珠海承鸥地址</t>
  </si>
  <si>
    <t>开平市</t>
  </si>
  <si>
    <t>配件类</t>
  </si>
  <si>
    <t>8月</t>
  </si>
  <si>
    <t>把手//</t>
  </si>
  <si>
    <t>把手</t>
  </si>
  <si>
    <t>6F168601NT</t>
  </si>
  <si>
    <t>6F189301NT</t>
  </si>
  <si>
    <t>6F255601NT</t>
  </si>
  <si>
    <t>6F255501NT</t>
  </si>
  <si>
    <t>6F212201NT</t>
  </si>
  <si>
    <t>6F207601NT</t>
  </si>
  <si>
    <t>6F225201NT</t>
  </si>
  <si>
    <t>6F030101NT</t>
  </si>
  <si>
    <t>原材料</t>
  </si>
  <si>
    <t>6F184301NT</t>
  </si>
  <si>
    <t>把手//ZZnAlD4-0.1</t>
  </si>
  <si>
    <t>9月</t>
  </si>
  <si>
    <t>支架//3#锌合金</t>
  </si>
  <si>
    <t>十字把手//3#锌合金</t>
  </si>
  <si>
    <t>支座//3#锌合金</t>
  </si>
  <si>
    <t>接收关闭</t>
  </si>
  <si>
    <t>把手柄//3#锌合金</t>
  </si>
  <si>
    <t>6F170801PN</t>
  </si>
  <si>
    <t>马桶把手//3#锌合金</t>
  </si>
  <si>
    <t>支座//3#锌合金//3#锌合金</t>
  </si>
  <si>
    <t>6F132701PN</t>
  </si>
  <si>
    <t>开平</t>
  </si>
  <si>
    <t>10月</t>
  </si>
  <si>
    <t>6F251101PN</t>
  </si>
  <si>
    <t>把手座//3#锌合金</t>
  </si>
  <si>
    <t>手柄//3#锌合金//3#锌合金</t>
  </si>
  <si>
    <t>法兰</t>
  </si>
  <si>
    <t>1399196把手//3#锌合金</t>
  </si>
  <si>
    <t>马桶水箱把手//3#锌合金</t>
  </si>
  <si>
    <t>马桶水箱把手(可自制外购)//3#锌合金</t>
  </si>
  <si>
    <t>朱振国,</t>
  </si>
  <si>
    <t>N000</t>
  </si>
  <si>
    <t>广州海鸥</t>
  </si>
  <si>
    <t>414588040 把手//3#锌合金</t>
  </si>
  <si>
    <t>广州</t>
  </si>
  <si>
    <t>海鸥原材料</t>
  </si>
  <si>
    <t>三通//3#锌合金</t>
  </si>
  <si>
    <t>6F258601PN</t>
  </si>
  <si>
    <t>把手//锌合金//3#锌合金</t>
  </si>
  <si>
    <t>座//3#锌合金</t>
  </si>
  <si>
    <t>把手//ZZnAlD4-0.1//3#锌合金</t>
  </si>
  <si>
    <t>一字把手//3#锌合金</t>
  </si>
  <si>
    <t>池家伟,</t>
  </si>
  <si>
    <t>把手//ZZnAlD4-0.1////6F157101CP</t>
  </si>
  <si>
    <t>L001</t>
  </si>
  <si>
    <t>韦健锋,</t>
  </si>
  <si>
    <t>广州海鸥GF</t>
  </si>
  <si>
    <t>整组原材料</t>
  </si>
  <si>
    <t>(打字)把手//ZZnAlD4-0.1</t>
  </si>
  <si>
    <t>把手（打字）把手（打字）//ZZnAlD4-0.1</t>
  </si>
  <si>
    <t>(打字)把手//3#锌合金</t>
  </si>
  <si>
    <t>本体//ZINC</t>
  </si>
  <si>
    <t>5L0Z0027CP</t>
  </si>
  <si>
    <t>装饰罩</t>
  </si>
  <si>
    <t>5C0Z0125CP</t>
  </si>
  <si>
    <t>序号</t>
  </si>
  <si>
    <t>暂收日期</t>
  </si>
  <si>
    <t>交货日期</t>
  </si>
  <si>
    <t>物料名称</t>
  </si>
  <si>
    <t>数量</t>
  </si>
  <si>
    <t>货位</t>
  </si>
  <si>
    <t>接收人</t>
  </si>
  <si>
    <t>供应商</t>
  </si>
  <si>
    <t>交货号</t>
  </si>
  <si>
    <t>备注</t>
  </si>
  <si>
    <t>6F251701NT</t>
  </si>
  <si>
    <t>N000A000</t>
  </si>
  <si>
    <t>王尾</t>
  </si>
  <si>
    <t>NT</t>
  </si>
  <si>
    <t>6F147401NT</t>
  </si>
  <si>
    <t>6F231701NT</t>
  </si>
  <si>
    <t>6F052301MP</t>
  </si>
  <si>
    <t>装饰罩//3#锌合金</t>
  </si>
  <si>
    <t>MP</t>
  </si>
  <si>
    <t>6F160401NT</t>
  </si>
  <si>
    <t>6F134901NT</t>
  </si>
  <si>
    <t>6F232101NT</t>
  </si>
  <si>
    <t>6F232001NT</t>
  </si>
  <si>
    <t>6F231801NT</t>
  </si>
  <si>
    <t>面板//3#锌合金</t>
  </si>
  <si>
    <t>6F135001NT</t>
  </si>
  <si>
    <t>6F176201NT</t>
  </si>
  <si>
    <t>6F049001NT</t>
  </si>
  <si>
    <t>把手座</t>
  </si>
  <si>
    <t>5L0153700NT0</t>
  </si>
  <si>
    <t>装饰盖//3#锌合金</t>
  </si>
  <si>
    <t>6F130901NT</t>
  </si>
  <si>
    <t>5L0154500NT0</t>
  </si>
  <si>
    <t>下盖//3#锌合金</t>
  </si>
  <si>
    <t>6F144201NT</t>
  </si>
  <si>
    <t>中空把手</t>
  </si>
  <si>
    <t>5L0153900NT0</t>
  </si>
  <si>
    <t>5L0154000NT0</t>
  </si>
  <si>
    <t>上盖//3#锌合金</t>
  </si>
  <si>
    <t>6F227601NT</t>
  </si>
  <si>
    <t>6F218501NT</t>
  </si>
  <si>
    <t>6F087901NT</t>
  </si>
  <si>
    <t>6F151801NT</t>
  </si>
  <si>
    <t>装饰件</t>
  </si>
  <si>
    <t>6F131901NT</t>
  </si>
  <si>
    <t>6F193701MP</t>
  </si>
  <si>
    <t>5C0061400NT0</t>
  </si>
  <si>
    <t>6F230401NT</t>
  </si>
  <si>
    <t>5L0148200NT0</t>
  </si>
  <si>
    <t>装饰墙罩//SUS201</t>
  </si>
  <si>
    <t>Y001</t>
  </si>
  <si>
    <t>Y001N003</t>
  </si>
  <si>
    <t>6F193801MP</t>
  </si>
  <si>
    <t>向思平</t>
  </si>
  <si>
    <t>杨东</t>
  </si>
  <si>
    <t>珠海</t>
  </si>
  <si>
    <t>T000F02</t>
  </si>
  <si>
    <t>刘家凤</t>
  </si>
  <si>
    <t>6F238001NT</t>
  </si>
  <si>
    <t>面盖//3#锌合金</t>
  </si>
  <si>
    <t>马桶把手//</t>
  </si>
  <si>
    <t>6F229501PN</t>
  </si>
  <si>
    <t>T000E27</t>
  </si>
  <si>
    <t>6F271101NT</t>
  </si>
  <si>
    <t>6F263001NT</t>
  </si>
  <si>
    <t>5T3011500NT0</t>
  </si>
  <si>
    <t>厨房龙头弹簧//SUS304</t>
  </si>
  <si>
    <t>Y002</t>
  </si>
  <si>
    <t>Y0020000</t>
  </si>
  <si>
    <t>6F191101NT</t>
  </si>
  <si>
    <t>6F219901NT</t>
  </si>
  <si>
    <t>6F195101NT</t>
  </si>
  <si>
    <t>装饰罩//</t>
  </si>
  <si>
    <t>锌合金外购件扩产进度管控表</t>
  </si>
  <si>
    <t>NO</t>
  </si>
  <si>
    <t>供应商分组</t>
  </si>
  <si>
    <t>供应商可提供产能（7月）</t>
  </si>
  <si>
    <t>7月已下订单（PCS）</t>
  </si>
  <si>
    <t>7月未交订单（PCS）</t>
  </si>
  <si>
    <t>日目标（PCS）</t>
  </si>
  <si>
    <t>日目标达成率</t>
  </si>
  <si>
    <t>已下订单达成率</t>
  </si>
  <si>
    <t>量产入库数量（PCS）</t>
  </si>
  <si>
    <t>进度汇报</t>
  </si>
  <si>
    <t>开平限电政策</t>
  </si>
  <si>
    <t>限电对策</t>
  </si>
  <si>
    <t>JUL.2021</t>
  </si>
  <si>
    <r>
      <rPr>
        <b/>
        <sz val="11"/>
        <color rgb="FF002060"/>
        <rFont val="等线"/>
        <charset val="134"/>
      </rPr>
      <t xml:space="preserve">7M1W
</t>
    </r>
    <r>
      <rPr>
        <b/>
        <sz val="9"/>
        <color rgb="FF002060"/>
        <rFont val="等线"/>
        <charset val="134"/>
      </rPr>
      <t>(7/1-7/4)</t>
    </r>
  </si>
  <si>
    <r>
      <rPr>
        <b/>
        <sz val="11"/>
        <color rgb="FF002060"/>
        <rFont val="等线"/>
        <charset val="134"/>
      </rPr>
      <t xml:space="preserve">7M2W
</t>
    </r>
    <r>
      <rPr>
        <b/>
        <sz val="9"/>
        <color rgb="FF002060"/>
        <rFont val="等线"/>
        <charset val="134"/>
      </rPr>
      <t>(7/5-7/11)</t>
    </r>
  </si>
  <si>
    <r>
      <rPr>
        <b/>
        <sz val="11"/>
        <color rgb="FF002060"/>
        <rFont val="等线"/>
        <charset val="134"/>
      </rPr>
      <t xml:space="preserve">7M3W
</t>
    </r>
    <r>
      <rPr>
        <b/>
        <sz val="9"/>
        <color rgb="FF002060"/>
        <rFont val="等线"/>
        <charset val="134"/>
      </rPr>
      <t>(7/12-7/18)</t>
    </r>
  </si>
  <si>
    <r>
      <rPr>
        <b/>
        <sz val="11"/>
        <color rgb="FF002060"/>
        <rFont val="等线"/>
        <charset val="134"/>
      </rPr>
      <t xml:space="preserve">7M4W
</t>
    </r>
    <r>
      <rPr>
        <b/>
        <sz val="9"/>
        <color rgb="FF002060"/>
        <rFont val="等线"/>
        <charset val="134"/>
      </rPr>
      <t>(7/19-7/25)</t>
    </r>
  </si>
  <si>
    <t>珊瑚2341 模具一出一,产能低,模具已退回珠海</t>
  </si>
  <si>
    <t>每周三磨抛厂停电</t>
  </si>
  <si>
    <t>1.2.4.5.6磨抛工每晚多加班2H</t>
  </si>
  <si>
    <t>正常生产中。</t>
  </si>
  <si>
    <t>暂未接到停电通知</t>
  </si>
  <si>
    <t>正常</t>
  </si>
  <si>
    <t>991新模具模伤，正在修模
1562尺寸不良,打样不通过,重做样</t>
  </si>
  <si>
    <t>7-20 模具还没修好，需重厂部再派压技术员维修</t>
  </si>
  <si>
    <t>汇航 6F207401PN 螺纹紧通，要全检牙，会影响产出</t>
  </si>
  <si>
    <t>311/310,无磨抛人员,不接单.</t>
  </si>
  <si>
    <t>6F273601PN 已安排退模，内部赶产</t>
  </si>
  <si>
    <t>2778刀具21号下午到厂</t>
  </si>
  <si>
    <t>开模中</t>
  </si>
  <si>
    <t>合计</t>
  </si>
  <si>
    <t>模具及PPAP管控表</t>
  </si>
  <si>
    <t>编号</t>
  </si>
  <si>
    <t>图片</t>
  </si>
  <si>
    <t>厂区</t>
  </si>
  <si>
    <t>授予时间</t>
  </si>
  <si>
    <t>状态</t>
  </si>
  <si>
    <t>模具类型</t>
  </si>
  <si>
    <t>模具状态</t>
  </si>
  <si>
    <t>进度/异常</t>
  </si>
  <si>
    <t>NT转PN</t>
  </si>
  <si>
    <t>工厂发模</t>
  </si>
  <si>
    <t>供应商开模</t>
  </si>
  <si>
    <t>交样时间</t>
  </si>
  <si>
    <t>PPAP日期</t>
  </si>
  <si>
    <t>PPAP结果</t>
  </si>
  <si>
    <t>退模时间</t>
  </si>
  <si>
    <t>计划发模</t>
  </si>
  <si>
    <t>实际发模时间</t>
  </si>
  <si>
    <t>开模时间</t>
  </si>
  <si>
    <t>完成时间</t>
  </si>
  <si>
    <t>GF</t>
  </si>
  <si>
    <t>1.已授予待发模</t>
  </si>
  <si>
    <t>已开模，待送样确认</t>
  </si>
  <si>
    <t>已安排</t>
  </si>
  <si>
    <t>番锌</t>
  </si>
  <si>
    <t>3.发模量产中</t>
  </si>
  <si>
    <t>与2738共模</t>
  </si>
  <si>
    <t>压铸冷渣</t>
  </si>
  <si>
    <t>OK</t>
  </si>
  <si>
    <t>与2736共模</t>
  </si>
  <si>
    <t>5A0045700PN0</t>
  </si>
  <si>
    <t>5A0045800PN0</t>
  </si>
  <si>
    <t>2.发模打样中</t>
  </si>
  <si>
    <t>5B0023000PN0</t>
  </si>
  <si>
    <t>5C0003100PN0</t>
  </si>
  <si>
    <t>5C0072900PN0</t>
  </si>
  <si>
    <t>5C0092700PN0</t>
  </si>
  <si>
    <t>5C0Z0100PN</t>
  </si>
  <si>
    <t>5L0012100PN0</t>
  </si>
  <si>
    <t>5L0012200PN0</t>
  </si>
  <si>
    <t>5L0096400PN0</t>
  </si>
  <si>
    <t>5N0027800PN0</t>
  </si>
  <si>
    <t>6F128501PN</t>
  </si>
  <si>
    <t>6F197901PN</t>
  </si>
  <si>
    <t>6F203301PN</t>
  </si>
  <si>
    <t>6F217901PN</t>
  </si>
  <si>
    <t>6F233201PN</t>
  </si>
  <si>
    <t>6F236801PN</t>
  </si>
  <si>
    <t>6F257301PN</t>
  </si>
  <si>
    <t>6F257701PN</t>
  </si>
  <si>
    <t>6F270401PN</t>
  </si>
  <si>
    <t>珠锌</t>
  </si>
  <si>
    <t>打样合格，PPAP已确认</t>
  </si>
  <si>
    <t>6F260501NT</t>
  </si>
  <si>
    <t>答复明天送样检验</t>
  </si>
  <si>
    <t>有旧模，不开新模</t>
  </si>
  <si>
    <t>5C0093100PN0</t>
  </si>
  <si>
    <t>NT退模</t>
  </si>
  <si>
    <t>翔宇，与6F2671共模</t>
  </si>
  <si>
    <t>在翔宇赶产</t>
  </si>
  <si>
    <t>压铸尺寸不良，打样不通过，待重新送样</t>
  </si>
  <si>
    <t>6F185801PN</t>
  </si>
  <si>
    <t>翔宇</t>
  </si>
  <si>
    <t>翔宇采购NT，暂不转</t>
  </si>
  <si>
    <t>6F237001PN</t>
  </si>
  <si>
    <t>李总仍在评估</t>
  </si>
  <si>
    <t>6F204701PN</t>
  </si>
  <si>
    <t>迪朗配合意愿差，暂不考虑发</t>
  </si>
  <si>
    <t>5A0010700CP0</t>
  </si>
  <si>
    <t>待发模</t>
  </si>
  <si>
    <t>5C0094900CP0</t>
  </si>
  <si>
    <t>开模中，预计8/3号送样</t>
  </si>
  <si>
    <t>开模</t>
  </si>
  <si>
    <t>5C0099300CP0</t>
  </si>
  <si>
    <t>5N0089500CP0</t>
  </si>
  <si>
    <t>开模中，预计8/5号送样</t>
  </si>
  <si>
    <t>6F059101PN</t>
  </si>
  <si>
    <t>川福菖</t>
  </si>
  <si>
    <t>川福菖采购NT，暂不转</t>
  </si>
  <si>
    <t>6F076901PN</t>
  </si>
  <si>
    <t>6F104801PN</t>
  </si>
  <si>
    <t>6F104901PN</t>
  </si>
  <si>
    <t>实验中，尺寸待送样确认</t>
  </si>
  <si>
    <t>6F110501PN</t>
  </si>
  <si>
    <t>6F113101PN</t>
  </si>
  <si>
    <t>待送样，答复27号送样</t>
  </si>
  <si>
    <t>6F113701PN</t>
  </si>
  <si>
    <t>6F147401PN</t>
  </si>
  <si>
    <t>待机加调试，答复23号送样</t>
  </si>
  <si>
    <t>6F201501PN</t>
  </si>
  <si>
    <t>切边中，答复24号送样（不开模）</t>
  </si>
  <si>
    <t>6F204801PN</t>
  </si>
  <si>
    <t>6F218501PN</t>
  </si>
  <si>
    <t>6F221201PN</t>
  </si>
  <si>
    <t>6F228001PN</t>
  </si>
  <si>
    <t>6F228301PN</t>
  </si>
  <si>
    <t>6F239201PN</t>
  </si>
  <si>
    <t>首样尺寸NG，目前电镀中，21号送尺寸样</t>
  </si>
  <si>
    <t>6F292201CP</t>
  </si>
  <si>
    <t>6F292301CP</t>
  </si>
  <si>
    <t>答复不开模</t>
  </si>
  <si>
    <t>5.退模</t>
  </si>
  <si>
    <t>6F124301CP</t>
  </si>
  <si>
    <t>6F131601CP</t>
  </si>
  <si>
    <t>外观NG</t>
  </si>
  <si>
    <t>6F135901CP</t>
  </si>
  <si>
    <t>6F226901CP</t>
  </si>
  <si>
    <t>开模方式错误，重新开模</t>
  </si>
  <si>
    <t>7/9第二次开模</t>
  </si>
  <si>
    <t>6F231501CP</t>
  </si>
  <si>
    <t>6F124201PN</t>
  </si>
  <si>
    <t>已确认</t>
  </si>
  <si>
    <t>7-20厂部派技术员到供应商处,模具还没修好，需要继续修模</t>
  </si>
  <si>
    <t>6F169201PN</t>
  </si>
  <si>
    <t>还欠产2万件，内部异常一直修不好，建议暂时不要发</t>
  </si>
  <si>
    <t>6F169301PN</t>
  </si>
  <si>
    <t>模具异常多，不外发，与8F9692共模</t>
  </si>
  <si>
    <t>6F209201PN</t>
  </si>
  <si>
    <t>供应商不同意开模,要求提供模费</t>
  </si>
  <si>
    <t>6F254701PN</t>
  </si>
  <si>
    <t>6F257501PN</t>
  </si>
  <si>
    <t>模具共了7套模芯，暂时取消外发</t>
  </si>
  <si>
    <t>6F226801PN</t>
  </si>
  <si>
    <t>7-15压铸起泡，把手柄水纹，7-16模具已退回我司赶产</t>
  </si>
  <si>
    <t>5C00951</t>
  </si>
  <si>
    <t>5C0095100PN0</t>
  </si>
  <si>
    <t>7、8月份没需求,是否开模待定</t>
  </si>
  <si>
    <t>B908566AA</t>
  </si>
  <si>
    <t>6F204101PN</t>
  </si>
  <si>
    <t>7-18螺纹通规紧通，让步接收，生产时改善（生产时要求螺纹通规顺通）</t>
  </si>
  <si>
    <t>6F113201PN</t>
  </si>
  <si>
    <t>8-10完成开模</t>
  </si>
  <si>
    <t>6F239101PN</t>
  </si>
  <si>
    <t>7-17模具已退回我司</t>
  </si>
  <si>
    <t>6F144301PN</t>
  </si>
  <si>
    <t>海鸥</t>
  </si>
  <si>
    <t>8-15完成开模</t>
  </si>
  <si>
    <t>163288CP</t>
  </si>
  <si>
    <t>6F160401PN</t>
  </si>
  <si>
    <t>待定</t>
  </si>
  <si>
    <t>6F208701PN</t>
  </si>
  <si>
    <t>7-25完成开模</t>
  </si>
  <si>
    <t>6F218801PN</t>
  </si>
  <si>
    <t>6F234601PN</t>
  </si>
  <si>
    <t>6F095301PN</t>
  </si>
  <si>
    <t>量大产品内部赶产中，确定供应商开模时间
,供应商同意开模,但打算1762/2316打样做货后再决定开模</t>
  </si>
  <si>
    <t>6F133501PN</t>
  </si>
  <si>
    <t>6F176201PN</t>
  </si>
  <si>
    <t>本月欠产90000，待定发模
供应商复是否可以先用厂内模打样后再开,刚开始合作,不打算同时开四套模</t>
  </si>
  <si>
    <t>6F231601PN</t>
  </si>
  <si>
    <t>5N00397</t>
  </si>
  <si>
    <t>5N0039700PN0</t>
  </si>
  <si>
    <t>打样通过</t>
  </si>
  <si>
    <t>6F208401PN</t>
  </si>
  <si>
    <t>6F231501PN</t>
  </si>
  <si>
    <t xml:space="preserve"> 7-30试模，打样+4天</t>
  </si>
  <si>
    <t>5C00626</t>
  </si>
  <si>
    <t>5C0062600PN0</t>
  </si>
  <si>
    <t>模具已修好，7-21再确认模具</t>
  </si>
  <si>
    <t>5C00628</t>
  </si>
  <si>
    <t>5C0062800PN0</t>
  </si>
  <si>
    <t>6F277601PN</t>
  </si>
  <si>
    <t>与6F266901共模架</t>
  </si>
  <si>
    <t>打样中,在机加调试</t>
  </si>
  <si>
    <t>6F087901PN</t>
  </si>
  <si>
    <t>优云，与6F1737共模</t>
  </si>
  <si>
    <t>试生产情况，21号回复是否开模</t>
  </si>
  <si>
    <t>1.60068.08</t>
  </si>
  <si>
    <t>6F173701PN</t>
  </si>
  <si>
    <t>与0879共模</t>
  </si>
  <si>
    <t>6F216701PN</t>
  </si>
  <si>
    <t>6F227601PN</t>
  </si>
  <si>
    <t>7-18已提供样品，供应商还在评估中</t>
  </si>
  <si>
    <t>6F266901PN</t>
  </si>
  <si>
    <t>与2671共模，模具异常，暂不发模</t>
  </si>
  <si>
    <t>6F091401PN</t>
  </si>
  <si>
    <t>海鸥，与6F2863共模</t>
  </si>
  <si>
    <t>先试镀后发</t>
  </si>
  <si>
    <t>6F164101PN</t>
  </si>
  <si>
    <t>模具机台不匹配，四月已退模</t>
  </si>
  <si>
    <t>6F267101PN</t>
  </si>
  <si>
    <t>与6F2669共模架，模具异常，暂不发模</t>
  </si>
  <si>
    <t>6F194601PN</t>
  </si>
  <si>
    <t>模具在中雅做PN，暂不转</t>
  </si>
  <si>
    <t>6F237801PN</t>
  </si>
  <si>
    <t>6F247101PN</t>
  </si>
  <si>
    <t>中扬产能内部紧张，发模待定</t>
  </si>
  <si>
    <t>6F253801PN</t>
  </si>
  <si>
    <t>内部赶产，模具四月份已退回我司，供应商打样还没通过</t>
  </si>
  <si>
    <t>A909068AA</t>
  </si>
  <si>
    <t>6F254801PN</t>
  </si>
  <si>
    <t>6F277801PN</t>
  </si>
  <si>
    <t>重新修刀，预计21完成刀具</t>
  </si>
  <si>
    <t>7-17打样已通过，可以投入量产</t>
  </si>
  <si>
    <t>7-20开模完成，预计交样7-27</t>
  </si>
  <si>
    <t>6F204901PN</t>
  </si>
  <si>
    <t>7-15产品需上数控加尾顶，现设备无法加装，刀具干涉，行程不够，东睿解决处理机加问题，PMC确认是否先退模赶产</t>
  </si>
  <si>
    <t>6F205001PN0</t>
  </si>
  <si>
    <t>7-16模具已退回我司赶产</t>
  </si>
  <si>
    <t>6F185501PN</t>
  </si>
  <si>
    <t>供应商生产计划日追踪</t>
  </si>
  <si>
    <t>订单数量</t>
  </si>
  <si>
    <t>订单交期</t>
  </si>
  <si>
    <t>月需求</t>
  </si>
  <si>
    <t>月达成率</t>
  </si>
  <si>
    <t>工序</t>
  </si>
  <si>
    <t>生产计划</t>
  </si>
  <si>
    <t>压铸</t>
  </si>
  <si>
    <t>计划</t>
  </si>
  <si>
    <t>实际</t>
  </si>
  <si>
    <t>机加</t>
  </si>
  <si>
    <t>磨抛</t>
  </si>
  <si>
    <t>电镀</t>
  </si>
  <si>
    <t>5C0008500CP</t>
  </si>
  <si>
    <t>5C0062500CP</t>
  </si>
  <si>
    <r>
      <rPr>
        <sz val="11"/>
        <color theme="1"/>
        <rFont val="宋体"/>
        <charset val="134"/>
        <scheme val="minor"/>
      </rPr>
      <t>O</t>
    </r>
    <r>
      <rPr>
        <sz val="11"/>
        <color theme="1"/>
        <rFont val="宋体"/>
        <charset val="134"/>
        <scheme val="minor"/>
      </rPr>
      <t>K</t>
    </r>
  </si>
  <si>
    <t>6F273601/273801</t>
  </si>
  <si>
    <t>SPL</t>
  </si>
  <si>
    <t>LINE</t>
  </si>
  <si>
    <t>PHOTO</t>
  </si>
  <si>
    <t>压完</t>
  </si>
  <si>
    <t>机加完</t>
  </si>
  <si>
    <t>待定再追踪</t>
  </si>
  <si>
    <t>预计25号交清</t>
  </si>
  <si>
    <t>试模</t>
  </si>
  <si>
    <t>31号OK</t>
  </si>
  <si>
    <t>中扬修模---预计7-14修好试机</t>
  </si>
  <si>
    <t>30号OK</t>
  </si>
  <si>
    <t>暂没排产,15号追出来</t>
  </si>
  <si>
    <t>日需求</t>
  </si>
  <si>
    <t>日达成率</t>
  </si>
  <si>
    <t>小单磨完</t>
  </si>
  <si>
    <t>21号OK</t>
  </si>
  <si>
    <t>22号OK</t>
  </si>
  <si>
    <t>24号OK</t>
  </si>
  <si>
    <t>完</t>
  </si>
  <si>
    <t>30号完成65K</t>
  </si>
  <si>
    <t>23号OK</t>
  </si>
  <si>
    <t>30号完成25K</t>
  </si>
  <si>
    <t>30号完成10K</t>
  </si>
  <si>
    <t>珠海已赶产一批,数量需要生新确认</t>
  </si>
  <si>
    <t>退</t>
  </si>
  <si>
    <t>26号OK</t>
  </si>
  <si>
    <t>退模珠海,自行赶产</t>
  </si>
  <si>
    <t>6F194301PN</t>
  </si>
  <si>
    <t>6F102601PN</t>
  </si>
  <si>
    <t>已压1万</t>
  </si>
  <si>
    <t>已磨抛1W,订单可提前完成</t>
  </si>
  <si>
    <t>丝攻牙规,通规紧通,泰山检后要求,机加后,增加手动攻牙一次来解决(已进行四次验让其它方法,最后试行增加手动)</t>
  </si>
  <si>
    <t>已与PMC对接,17号前磨抛完1.8W件的可操作性非常低,现待12号试行机加后增加手动一次攻牙后磨抛后看质检情况 .</t>
  </si>
  <si>
    <t>重点跟进事项,落此款的日产计划</t>
  </si>
  <si>
    <t>清尾</t>
  </si>
  <si>
    <t>6/16模伤要修模拉回 内部赶产中</t>
  </si>
  <si>
    <t>暂没有量产单</t>
  </si>
  <si>
    <t>供应商经营及财务情况</t>
  </si>
  <si>
    <t>当日客户来访信息</t>
  </si>
  <si>
    <t>供应商产品信息收集</t>
  </si>
  <si>
    <t>异常动向</t>
  </si>
  <si>
    <t>中扬老板与珊瑚老板下午4点多,在中扬老板办公室里聊天到6点多</t>
  </si>
  <si>
    <t>其它客户,专人半天在此厂守货</t>
  </si>
  <si>
    <t>每周出口平均1个40尺柜和1个20尺柜</t>
  </si>
  <si>
    <t>新装6台机器手已正常使用,近期新招10名磨抛工(44名手机磨抛工),现有磨抛空余产能</t>
  </si>
  <si>
    <t xml:space="preserve"> B</t>
  </si>
  <si>
    <t>一不知名客户17号早上10-11点看中杨厂,预约中扬下月产能,</t>
  </si>
  <si>
    <t>3个厂家追货</t>
  </si>
  <si>
    <t>中扬打样吴师傅与一德国客的驻厂代表吃晚饭</t>
  </si>
  <si>
    <t>路达/伟强到珊瑚催货</t>
  </si>
  <si>
    <t>包括但不限于客户、单价、配额、技术、品质、数量</t>
  </si>
  <si>
    <t>锌合金扩产——外购PN件总控表</t>
  </si>
  <si>
    <t>厂部</t>
  </si>
  <si>
    <t>授予款数</t>
  </si>
  <si>
    <t>发模款数</t>
  </si>
  <si>
    <t>PPAP</t>
  </si>
  <si>
    <t>已下单料号款数</t>
  </si>
  <si>
    <t>授予用量（万件/月）</t>
  </si>
  <si>
    <t>供应商可提供产能（万件/月）</t>
  </si>
  <si>
    <t>5月量产（万件）</t>
  </si>
  <si>
    <t>6月量产（万件）</t>
  </si>
  <si>
    <t>7月量产（万件）</t>
  </si>
  <si>
    <t>已下订单（已PPAP）
（万件/月）</t>
  </si>
  <si>
    <t>已下订单（万件/月）</t>
  </si>
  <si>
    <t>6月订单缺口对比数据</t>
  </si>
  <si>
    <t>6月</t>
  </si>
  <si>
    <t>6月完成值</t>
  </si>
  <si>
    <t>7月可提供产能</t>
  </si>
  <si>
    <t>已导入</t>
  </si>
  <si>
    <t>锌合金属</t>
  </si>
  <si>
    <t>联鑫晟</t>
  </si>
  <si>
    <t>番禺合计</t>
  </si>
  <si>
    <t>新增</t>
  </si>
  <si>
    <t>力劲</t>
  </si>
  <si>
    <t>珠海合计</t>
  </si>
  <si>
    <t>GF合计</t>
  </si>
  <si>
    <t xml:space="preserve"> 总计</t>
  </si>
  <si>
    <t>2021年授予</t>
  </si>
  <si>
    <t>规则：表内数据为PN件所有授予物料号</t>
  </si>
  <si>
    <t>料号</t>
  </si>
  <si>
    <t>穴数</t>
  </si>
  <si>
    <t>压铸机吨位</t>
  </si>
  <si>
    <t>备用</t>
  </si>
  <si>
    <t>计划发模时间</t>
  </si>
  <si>
    <t>万件/月</t>
  </si>
  <si>
    <t>授予</t>
  </si>
  <si>
    <t>发模</t>
  </si>
  <si>
    <t>交样</t>
  </si>
  <si>
    <t>退模</t>
  </si>
  <si>
    <t>PN件</t>
  </si>
  <si>
    <t>6/10是新模</t>
  </si>
  <si>
    <t>底座</t>
  </si>
  <si>
    <t>模具已退回</t>
  </si>
  <si>
    <t>6F209401PN</t>
  </si>
  <si>
    <t>连接器</t>
  </si>
  <si>
    <t>6/12 二次发模</t>
  </si>
  <si>
    <t>与6F2738共模</t>
  </si>
  <si>
    <t>250T</t>
  </si>
  <si>
    <t>6F099001NT</t>
  </si>
  <si>
    <t>6F135301NT</t>
  </si>
  <si>
    <t>4.发模量产中-旧</t>
  </si>
  <si>
    <t>2实际为1穴</t>
  </si>
  <si>
    <t>6F203501NT</t>
  </si>
  <si>
    <t>6F204101NT</t>
  </si>
  <si>
    <t>模具6/18已送回东航生产</t>
  </si>
  <si>
    <t>6F219701NT</t>
  </si>
  <si>
    <t>6F220001NT</t>
  </si>
  <si>
    <t>6F220201NT</t>
  </si>
  <si>
    <t>6F220301NT</t>
  </si>
  <si>
    <t>6F222901NT</t>
  </si>
  <si>
    <t>6F261701NT</t>
  </si>
  <si>
    <t>6F270901NT</t>
  </si>
  <si>
    <t>6F274101NT</t>
  </si>
  <si>
    <t>6F274301NT</t>
  </si>
  <si>
    <t>与6F1737共模</t>
  </si>
  <si>
    <t>是</t>
  </si>
  <si>
    <t>机加设备没有尾顶，不能生产，退模回我司，内部赶产。</t>
  </si>
  <si>
    <t>6/16模伤要修模拉回</t>
  </si>
  <si>
    <t>模具飞料</t>
  </si>
  <si>
    <t>开模完成，7/5交样</t>
  </si>
  <si>
    <t>开模方式错误，7/5重新开模，25天</t>
  </si>
  <si>
    <t>CP件</t>
  </si>
  <si>
    <t>6/17 NG</t>
  </si>
  <si>
    <t>本体</t>
  </si>
  <si>
    <t>5A0Z0025CP</t>
  </si>
  <si>
    <t>三通</t>
  </si>
  <si>
    <t>5C0008000CP0</t>
  </si>
  <si>
    <t>5C0063000CP0</t>
  </si>
  <si>
    <t>NG</t>
  </si>
  <si>
    <t>5C0Z040900CP0A0</t>
  </si>
  <si>
    <t>小盖子</t>
  </si>
  <si>
    <t>四寸面板</t>
  </si>
  <si>
    <t>6F010301CP</t>
  </si>
  <si>
    <t>6/10重新交样 实验合格</t>
  </si>
  <si>
    <t xml:space="preserve"> PPAP OK</t>
  </si>
  <si>
    <t>6F010501CP</t>
  </si>
  <si>
    <t>6/10已交样，实验合格</t>
  </si>
  <si>
    <t>6F052701CP</t>
  </si>
  <si>
    <t/>
  </si>
  <si>
    <t>4/25交样，重新交样</t>
  </si>
  <si>
    <t>4/25交样</t>
  </si>
  <si>
    <t>6F103301PN</t>
  </si>
  <si>
    <t>6F146301CP</t>
  </si>
  <si>
    <t>6F205201PN</t>
  </si>
  <si>
    <t>6F241201PN</t>
  </si>
  <si>
    <t>6F248901CP</t>
  </si>
  <si>
    <t>2021/6/26 PPAP OK</t>
  </si>
  <si>
    <t>不计入授予，但计入量产</t>
  </si>
  <si>
    <t>5C0096400PN0</t>
  </si>
  <si>
    <t>炉温不稳定，无法打样</t>
  </si>
  <si>
    <t>圆形件</t>
  </si>
  <si>
    <t>16号试模，省模</t>
  </si>
  <si>
    <t>7/5拉回维修，飞料，沙眼太多</t>
  </si>
  <si>
    <t>供应商开模中</t>
  </si>
  <si>
    <t>抽芯断</t>
  </si>
  <si>
    <t>模具在翔宇</t>
  </si>
  <si>
    <t>模具在优云</t>
  </si>
  <si>
    <t>行位粘膜导致产品拉裂，需要省模，入料口腐蚀，需烧焊研磨</t>
  </si>
  <si>
    <t>上盖</t>
  </si>
  <si>
    <t>4/28番锌已拉回模具维修，内部先赶产一批 5/18拉模</t>
  </si>
  <si>
    <t>无抛光产能</t>
  </si>
  <si>
    <t>NT在翔宇</t>
  </si>
  <si>
    <t>与6F2854共模，5/7退回</t>
  </si>
  <si>
    <t>5C0095000PN0</t>
  </si>
  <si>
    <t>优云压铸问题做不出来</t>
  </si>
  <si>
    <t>5L0008400PN</t>
  </si>
  <si>
    <t>优云压铸用电加热，无法达到生产需求，5/25发，5/28退回</t>
  </si>
  <si>
    <t>5L0008500PN</t>
  </si>
  <si>
    <t>下盖</t>
  </si>
  <si>
    <t>气孔异常，5/7安排人员处理</t>
  </si>
  <si>
    <t>NT转PN，模具已在优云，与8F1021-N2共模架,7/5芯仔断，重新制作，周期5天</t>
  </si>
  <si>
    <t>大面罩</t>
  </si>
  <si>
    <t>与6F2368共模</t>
  </si>
  <si>
    <t>与2179/2776共模，等600T</t>
  </si>
  <si>
    <t>等600T</t>
  </si>
  <si>
    <t>重点产品取消发外,与6F2033共模</t>
  </si>
  <si>
    <t>龙头</t>
  </si>
  <si>
    <t>模具抽芯</t>
  </si>
  <si>
    <t>重点产品取消发外，与8F2573共模架，</t>
  </si>
  <si>
    <t>供应商开模中，预计7/20完成</t>
  </si>
  <si>
    <t>样品已完成，待确认</t>
  </si>
  <si>
    <t>4/28退回内部，机台不匹配</t>
  </si>
  <si>
    <t>6/13号送回我司维修保养
6/11 合模线飞料、错模，表面腐蚀、扣模，退回烧焊放电</t>
  </si>
  <si>
    <t>海鸥开模</t>
  </si>
  <si>
    <t>6/1第二次发模</t>
  </si>
  <si>
    <t>压铸问题，扣模引起阀芯尺寸不良，6/15已修模完成</t>
  </si>
  <si>
    <t>配件</t>
  </si>
  <si>
    <t>3/31已把模具拉回珠锌维修</t>
  </si>
  <si>
    <t>发模，模具在中雅做PN</t>
  </si>
  <si>
    <t>模具在中雅</t>
  </si>
  <si>
    <t>ok</t>
  </si>
  <si>
    <t>160T</t>
  </si>
  <si>
    <t>6/21  产品的尺寸不良平斜面的尺寸不良，无法打样，需退回修模</t>
  </si>
  <si>
    <t>7/8产品夹口错位，抛光容易变形，无法生产，需要修模</t>
  </si>
  <si>
    <t>与5C00629同模,5/20交样合格</t>
  </si>
  <si>
    <t>6/13号送回我司维修保养</t>
  </si>
  <si>
    <t>发模，中扬内部产能紧张，待定，海鸥开模</t>
  </si>
  <si>
    <t>内部压铸160T订单不足，发模待定，海鸥开模</t>
  </si>
  <si>
    <t>发模，中扬产能内部紧张，发模待定</t>
  </si>
  <si>
    <t>5C0077700PN0</t>
  </si>
  <si>
    <t>5C0091800PN0</t>
  </si>
  <si>
    <t>5H0007600PN0</t>
  </si>
  <si>
    <t>提拉头</t>
  </si>
  <si>
    <t>5J0031300PN</t>
  </si>
  <si>
    <t>卫配</t>
  </si>
  <si>
    <t>5L0153900PN0</t>
  </si>
  <si>
    <t>5P0028100PN</t>
  </si>
  <si>
    <t>其他</t>
  </si>
  <si>
    <t>6F130901PN</t>
  </si>
  <si>
    <t>NT在众博，共5N00633共模</t>
  </si>
  <si>
    <t>6F188601PN</t>
  </si>
  <si>
    <t>模具在海鸥维修，与6F2863共模</t>
  </si>
  <si>
    <t>模具在优云，与6F1737共模</t>
  </si>
  <si>
    <t>模具在荣亿</t>
  </si>
  <si>
    <t>供应商开模，预计7/25完成</t>
  </si>
  <si>
    <t>机台不匹配，水纹打不亮，供应商自己开模</t>
  </si>
  <si>
    <t>与8F2083共模架、模芯、套板，机台不匹配，水纹打不亮，要退回</t>
  </si>
  <si>
    <t>已确认开模</t>
  </si>
  <si>
    <t>与6F1243共模</t>
  </si>
  <si>
    <t>厂部不同意改模</t>
  </si>
  <si>
    <t>发模，规具未回，待定</t>
  </si>
  <si>
    <t>模具在川福菖</t>
  </si>
  <si>
    <t>开模 交CP</t>
  </si>
  <si>
    <t>6F205001PN</t>
  </si>
  <si>
    <t>飞料，水纹</t>
  </si>
  <si>
    <t>马桶把手</t>
  </si>
  <si>
    <t>底座/配件</t>
  </si>
  <si>
    <t>模具异常需维修，预计7/15交样</t>
  </si>
  <si>
    <t>左右把手</t>
  </si>
  <si>
    <t>镒沣NT</t>
  </si>
  <si>
    <t>单把手</t>
  </si>
  <si>
    <t>优云NT</t>
  </si>
  <si>
    <t>供应商开模，预计8/5开模完成</t>
  </si>
  <si>
    <t>飞料</t>
  </si>
  <si>
    <t>5N0089500ALN</t>
  </si>
  <si>
    <t>发模，海鸥开模</t>
  </si>
  <si>
    <t>与2671共模</t>
  </si>
  <si>
    <t>已有模具</t>
  </si>
  <si>
    <t>锌合金扩产小组职责分工</t>
  </si>
  <si>
    <t>职能</t>
  </si>
  <si>
    <t>姓名</t>
  </si>
  <si>
    <t>部门</t>
  </si>
  <si>
    <t>职位</t>
  </si>
  <si>
    <t>职责</t>
  </si>
  <si>
    <t>供应链</t>
  </si>
  <si>
    <t>卢军</t>
  </si>
  <si>
    <t>供应管理部</t>
  </si>
  <si>
    <t>主任专员</t>
  </si>
  <si>
    <t>生产进度跟进及异常协调</t>
  </si>
  <si>
    <t>李雪花</t>
  </si>
  <si>
    <t>专员</t>
  </si>
  <si>
    <t>研发</t>
  </si>
  <si>
    <t>黄裕勇</t>
  </si>
  <si>
    <t>锌合金开发</t>
  </si>
  <si>
    <t>工程师</t>
  </si>
  <si>
    <t>工程/产品技术标准/工装夹治具</t>
  </si>
  <si>
    <t>品质</t>
  </si>
  <si>
    <t>陈应雄</t>
  </si>
  <si>
    <t>番禺锌合金品保部</t>
  </si>
  <si>
    <t>PPAP判定/检具</t>
  </si>
  <si>
    <t>赵泰山</t>
  </si>
  <si>
    <t>班长</t>
  </si>
  <si>
    <t>现场品质异常</t>
  </si>
  <si>
    <t>李传兵</t>
  </si>
  <si>
    <t>GF物料计划部</t>
  </si>
  <si>
    <t>资深专员</t>
  </si>
  <si>
    <t>颜开</t>
  </si>
  <si>
    <t>美诺图</t>
  </si>
  <si>
    <t>刘太慧</t>
  </si>
  <si>
    <t>陈志强</t>
  </si>
  <si>
    <t>珠海锌合金品保部</t>
  </si>
  <si>
    <t>技师</t>
  </si>
  <si>
    <t>马海</t>
  </si>
  <si>
    <t>制造技术</t>
  </si>
  <si>
    <t>罗焱敏</t>
  </si>
  <si>
    <t>资深经理</t>
  </si>
  <si>
    <t>开发/品质/模具异常协调及确认</t>
  </si>
  <si>
    <t>C</t>
  </si>
  <si>
    <t>供应商代码</t>
  </si>
  <si>
    <t>未交清订单需求</t>
  </si>
  <si>
    <t>截止7月13日入仓ERP数据（7月）</t>
  </si>
  <si>
    <t>总合计</t>
  </si>
  <si>
    <t>7月份已入仓</t>
  </si>
  <si>
    <t>7月未交订单</t>
  </si>
  <si>
    <t>8-10月总未交订单</t>
  </si>
  <si>
    <t>7月份总下订单</t>
  </si>
  <si>
    <t>事业部</t>
  </si>
  <si>
    <t>锌合金把手//ZZnALD4-1</t>
  </si>
  <si>
    <t>5C0008100NT0</t>
  </si>
  <si>
    <t>M916760把手柄//ZZnAlD4-0.1</t>
  </si>
  <si>
    <t>FP</t>
  </si>
  <si>
    <t>5N0057300NT0</t>
  </si>
  <si>
    <t>6F111401MP</t>
  </si>
  <si>
    <t>6F113701NT</t>
  </si>
  <si>
    <t>6F128501NT</t>
  </si>
  <si>
    <t>出水嘴</t>
  </si>
  <si>
    <t>6F160501NT</t>
  </si>
  <si>
    <t>6F173701NT</t>
  </si>
  <si>
    <t>6F175601NT</t>
  </si>
  <si>
    <t>6F191801NT</t>
  </si>
  <si>
    <t>把手柄//</t>
  </si>
  <si>
    <t>6F193401NT</t>
  </si>
  <si>
    <t>6F216701MP</t>
  </si>
  <si>
    <t>6F216701NT</t>
  </si>
  <si>
    <t>6F229301NT</t>
  </si>
  <si>
    <t>6F234601NT</t>
  </si>
  <si>
    <t>6F235201NT</t>
  </si>
  <si>
    <t>6F236001NT</t>
  </si>
  <si>
    <t>6F247401NT</t>
  </si>
  <si>
    <t>本体//ZZnAlD4-0.1//6F167901CP</t>
  </si>
  <si>
    <t>5C0008300NT0</t>
  </si>
  <si>
    <t>M962861把手//ZZnAlD4-0.1</t>
  </si>
  <si>
    <t>5C0095000NT0</t>
  </si>
  <si>
    <t>M916489把手//3#锌合金</t>
  </si>
  <si>
    <t>5C0095100NT0</t>
  </si>
  <si>
    <t>5C0Z0167NT</t>
  </si>
  <si>
    <t>单把把手</t>
  </si>
  <si>
    <t>锌合金把手</t>
  </si>
  <si>
    <t>5H0Z0002NT</t>
  </si>
  <si>
    <t>花齿拨头(左)</t>
  </si>
  <si>
    <t>5H0Z0003NT</t>
  </si>
  <si>
    <t>花齿拨头(右)</t>
  </si>
  <si>
    <t>5N0026800NT0</t>
  </si>
  <si>
    <t>M907844底座//ZZnAlD4-0.1</t>
  </si>
  <si>
    <t>6F021701NT</t>
  </si>
  <si>
    <t>把手//锌合金3#</t>
  </si>
  <si>
    <t>6F021801NT</t>
  </si>
  <si>
    <t>6F031101NT</t>
  </si>
  <si>
    <t>6F031801NT</t>
  </si>
  <si>
    <t>面盖(可自制外购)</t>
  </si>
  <si>
    <t>6F051401NT</t>
  </si>
  <si>
    <t>6F099101NT</t>
  </si>
  <si>
    <t>6F103301NT</t>
  </si>
  <si>
    <t>6F121801NT</t>
  </si>
  <si>
    <t>把手柄</t>
  </si>
  <si>
    <t>6F166601NT</t>
  </si>
  <si>
    <t>6F187601NT</t>
  </si>
  <si>
    <t>6F190101NT</t>
  </si>
  <si>
    <t>6F208701NT</t>
  </si>
  <si>
    <t>6F215301NT</t>
  </si>
  <si>
    <t>6F215401NT</t>
  </si>
  <si>
    <t>6F218501MP</t>
  </si>
  <si>
    <t>6F219001NT</t>
  </si>
  <si>
    <t>6F219101NT</t>
  </si>
  <si>
    <t>6F229201NT</t>
  </si>
  <si>
    <t>6F234601MP</t>
  </si>
  <si>
    <t>6F251101NT</t>
  </si>
  <si>
    <t>6F251201NT</t>
  </si>
  <si>
    <t>6F251601NT</t>
  </si>
  <si>
    <t>6F254401NT</t>
  </si>
  <si>
    <t>6F273901NT</t>
  </si>
  <si>
    <t>6F278001NT</t>
  </si>
  <si>
    <t>6F286301NT</t>
  </si>
  <si>
    <t>6F925101NT</t>
  </si>
  <si>
    <t>G5A0009510100</t>
  </si>
  <si>
    <t>8-8转轴//压铸模 (锌合金)ZnA14</t>
  </si>
  <si>
    <t>G5A0009740100</t>
  </si>
  <si>
    <t>转轴-窗系列//压铸模 (锌合金)ZnA14</t>
  </si>
  <si>
    <t>G5A0009750100</t>
  </si>
  <si>
    <t>响块-窗系列//压铸模 (锌合金)ZnA14</t>
  </si>
  <si>
    <t>G5A0009760100</t>
  </si>
  <si>
    <t>转轴-90度//压铸模 (锌合金)ZnA14</t>
  </si>
  <si>
    <t>G5A0009770100</t>
  </si>
  <si>
    <t>响块-拔叉系列//压铸模 (锌合金)ZnA14</t>
  </si>
  <si>
    <t>G5A0013130100</t>
  </si>
  <si>
    <t>转轴-窗系列(无响块)//压铸模 (锌合金)ZnA14</t>
  </si>
  <si>
    <t>专职品保人</t>
  </si>
  <si>
    <t>全检员数量</t>
  </si>
  <si>
    <t>吴金秀</t>
  </si>
  <si>
    <t>珠海驻守</t>
  </si>
  <si>
    <t>许施道</t>
  </si>
  <si>
    <t>鲁雪冰</t>
  </si>
  <si>
    <t>长期驻守</t>
  </si>
  <si>
    <t>张耀光</t>
  </si>
  <si>
    <t>何飞</t>
  </si>
  <si>
    <t>一周四到五天驻守</t>
  </si>
  <si>
    <t>权华美</t>
  </si>
  <si>
    <t>番禺驻守</t>
  </si>
  <si>
    <t>刘继军</t>
  </si>
  <si>
    <t>孙述梅</t>
  </si>
  <si>
    <t>有需要,就来水口</t>
  </si>
  <si>
    <t>梁彩梅</t>
  </si>
  <si>
    <t>欧俊鹏</t>
  </si>
  <si>
    <t>邝国梁</t>
  </si>
  <si>
    <t>葛建辉</t>
  </si>
  <si>
    <t>陈菊英</t>
  </si>
</sst>
</file>

<file path=xl/styles.xml><?xml version="1.0" encoding="utf-8"?>
<styleSheet xmlns="http://schemas.openxmlformats.org/spreadsheetml/2006/main">
  <numFmts count="11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mm/dd;@"/>
    <numFmt numFmtId="177" formatCode="yyyy/m/d;@"/>
    <numFmt numFmtId="178" formatCode="0\.0,"/>
    <numFmt numFmtId="179" formatCode="m/d;@"/>
    <numFmt numFmtId="180" formatCode="0_ "/>
    <numFmt numFmtId="181" formatCode="0.00_ "/>
    <numFmt numFmtId="182" formatCode="[$-409]d\-mmm;@"/>
  </numFmts>
  <fonts count="4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002060"/>
      <name val="等线"/>
      <charset val="134"/>
    </font>
    <font>
      <sz val="9"/>
      <color theme="1"/>
      <name val="宋体"/>
      <charset val="134"/>
      <scheme val="minor"/>
    </font>
    <font>
      <u/>
      <sz val="11"/>
      <color rgb="FF800080"/>
      <name val="宋体"/>
      <charset val="134"/>
    </font>
    <font>
      <b/>
      <sz val="9"/>
      <color theme="1"/>
      <name val="宋体"/>
      <charset val="134"/>
      <scheme val="minor"/>
    </font>
    <font>
      <b/>
      <sz val="12"/>
      <color rgb="FF002060"/>
      <name val="等线"/>
      <charset val="134"/>
    </font>
    <font>
      <b/>
      <sz val="14"/>
      <color rgb="FF002060"/>
      <name val="等线"/>
      <charset val="134"/>
    </font>
    <font>
      <b/>
      <sz val="10"/>
      <color rgb="FF002060"/>
      <name val="等线"/>
      <charset val="134"/>
    </font>
    <font>
      <sz val="10"/>
      <color rgb="FF002060"/>
      <name val="等线"/>
      <charset val="134"/>
    </font>
    <font>
      <sz val="11"/>
      <color rgb="FF002060"/>
      <name val="宋体"/>
      <charset val="134"/>
      <scheme val="minor"/>
    </font>
    <font>
      <b/>
      <sz val="16"/>
      <color rgb="FF002060"/>
      <name val="等线"/>
      <charset val="134"/>
    </font>
    <font>
      <b/>
      <sz val="11"/>
      <color rgb="FF002060"/>
      <name val="等线"/>
      <charset val="134"/>
    </font>
    <font>
      <b/>
      <sz val="12"/>
      <color rgb="FFFF0000"/>
      <name val="等线"/>
      <charset val="134"/>
    </font>
    <font>
      <b/>
      <sz val="8"/>
      <color rgb="FFFF0000"/>
      <name val="等线"/>
      <charset val="134"/>
    </font>
    <font>
      <b/>
      <sz val="11"/>
      <color rgb="FF002060"/>
      <name val="宋体"/>
      <charset val="134"/>
      <scheme val="minor"/>
    </font>
    <font>
      <b/>
      <sz val="9"/>
      <color rgb="FF002060"/>
      <name val="等线"/>
      <charset val="134"/>
    </font>
    <font>
      <b/>
      <sz val="10"/>
      <color rgb="FF00206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rgb="FFFF0000"/>
      <name val="等线"/>
      <charset val="134"/>
    </font>
    <font>
      <b/>
      <sz val="11"/>
      <color rgb="FF002060"/>
      <name val="宋体"/>
      <charset val="134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theme="10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sz val="14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54069643238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0" tint="-0.1495101779229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79"/>
      </left>
      <right style="medium">
        <color rgb="FF000079"/>
      </right>
      <top style="thin">
        <color rgb="FF000079"/>
      </top>
      <bottom style="medium">
        <color rgb="FF000079"/>
      </bottom>
      <diagonal/>
    </border>
    <border>
      <left/>
      <right style="medium">
        <color rgb="FF000079"/>
      </right>
      <top style="thin">
        <color rgb="FF000079"/>
      </top>
      <bottom style="medium">
        <color rgb="FF000079"/>
      </bottom>
      <diagonal/>
    </border>
    <border>
      <left style="medium">
        <color rgb="FF000079"/>
      </left>
      <right style="medium">
        <color rgb="FF000079"/>
      </right>
      <top style="thin">
        <color rgb="FF000079"/>
      </top>
      <bottom style="medium">
        <color rgb="FF000079"/>
      </bottom>
      <diagonal/>
    </border>
    <border>
      <left style="thin">
        <color rgb="FF000079"/>
      </left>
      <right style="medium">
        <color rgb="FF000079"/>
      </right>
      <top style="medium">
        <color rgb="FF000079"/>
      </top>
      <bottom style="medium">
        <color rgb="FF000079"/>
      </bottom>
      <diagonal/>
    </border>
    <border>
      <left/>
      <right style="medium">
        <color rgb="FF000079"/>
      </right>
      <top style="medium">
        <color rgb="FF000079"/>
      </top>
      <bottom style="medium">
        <color rgb="FF000079"/>
      </bottom>
      <diagonal/>
    </border>
    <border>
      <left style="medium">
        <color rgb="FF000079"/>
      </left>
      <right style="medium">
        <color rgb="FF000079"/>
      </right>
      <top style="medium">
        <color rgb="FF000079"/>
      </top>
      <bottom style="medium">
        <color rgb="FF000079"/>
      </bottom>
      <diagonal/>
    </border>
    <border>
      <left style="medium">
        <color rgb="FF000079"/>
      </left>
      <right style="thin">
        <color rgb="FF000079"/>
      </right>
      <top style="thin">
        <color rgb="FF000079"/>
      </top>
      <bottom style="medium">
        <color rgb="FF000079"/>
      </bottom>
      <diagonal/>
    </border>
    <border>
      <left style="medium">
        <color rgb="FF000079"/>
      </left>
      <right style="thin">
        <color rgb="FF000079"/>
      </right>
      <top style="medium">
        <color rgb="FF000079"/>
      </top>
      <bottom style="medium">
        <color rgb="FF00007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7" fillId="31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3" borderId="27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3" borderId="27" applyNumberFormat="0" applyFont="0" applyAlignment="0" applyProtection="0">
      <alignment vertical="center"/>
    </xf>
    <xf numFmtId="0" fontId="32" fillId="0" borderId="25" applyNumberFormat="0" applyFill="0" applyAlignment="0" applyProtection="0">
      <alignment vertical="center"/>
    </xf>
    <xf numFmtId="0" fontId="24" fillId="0" borderId="25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7" fillId="0" borderId="29" applyNumberFormat="0" applyFill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22" borderId="26" applyNumberFormat="0" applyAlignment="0" applyProtection="0">
      <alignment vertical="center"/>
    </xf>
    <xf numFmtId="0" fontId="38" fillId="22" borderId="30" applyNumberFormat="0" applyAlignment="0" applyProtection="0">
      <alignment vertical="center"/>
    </xf>
    <xf numFmtId="0" fontId="23" fillId="15" borderId="24" applyNumberFormat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40" fillId="0" borderId="31" applyNumberFormat="0" applyFill="0" applyAlignment="0" applyProtection="0">
      <alignment vertical="center"/>
    </xf>
    <xf numFmtId="0" fontId="33" fillId="0" borderId="28" applyNumberFormat="0" applyFill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39" fillId="0" borderId="0"/>
  </cellStyleXfs>
  <cellXfs count="230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Border="1">
      <alignment vertical="center"/>
    </xf>
    <xf numFmtId="0" fontId="4" fillId="0" borderId="0" xfId="10" applyFont="1" applyAlignment="1" applyProtection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7" fillId="3" borderId="1" xfId="0" applyFont="1" applyFill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center" wrapText="1" readingOrder="1"/>
    </xf>
    <xf numFmtId="0" fontId="9" fillId="3" borderId="0" xfId="0" applyNumberFormat="1" applyFont="1" applyFill="1" applyBorder="1" applyAlignment="1" applyProtection="1">
      <alignment horizontal="center" vertical="center" shrinkToFit="1"/>
      <protection locked="0"/>
    </xf>
    <xf numFmtId="0" fontId="9" fillId="3" borderId="0" xfId="0" applyNumberFormat="1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Fill="1" applyBorder="1" applyAlignment="1">
      <alignment horizontal="center" vertical="center" wrapText="1"/>
    </xf>
    <xf numFmtId="0" fontId="9" fillId="3" borderId="0" xfId="54" applyNumberFormat="1" applyFont="1" applyFill="1" applyBorder="1" applyAlignment="1">
      <alignment horizontal="center" vertical="center" shrinkToFit="1"/>
    </xf>
    <xf numFmtId="178" fontId="9" fillId="3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left" vertical="center"/>
    </xf>
    <xf numFmtId="178" fontId="9" fillId="0" borderId="0" xfId="0" applyNumberFormat="1" applyFont="1" applyFill="1" applyBorder="1" applyAlignment="1">
      <alignment horizontal="center" vertical="center"/>
    </xf>
    <xf numFmtId="176" fontId="9" fillId="0" borderId="0" xfId="54" applyNumberFormat="1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left" vertical="center"/>
    </xf>
    <xf numFmtId="0" fontId="9" fillId="3" borderId="0" xfId="0" applyNumberFormat="1" applyFont="1" applyFill="1" applyBorder="1" applyAlignment="1">
      <alignment horizontal="left" vertical="center" shrinkToFit="1"/>
    </xf>
    <xf numFmtId="177" fontId="9" fillId="0" borderId="0" xfId="0" applyNumberFormat="1" applyFont="1" applyFill="1" applyBorder="1" applyAlignment="1">
      <alignment horizontal="center" vertical="center"/>
    </xf>
    <xf numFmtId="0" fontId="9" fillId="0" borderId="0" xfId="54" applyNumberFormat="1" applyFont="1" applyFill="1" applyBorder="1" applyAlignment="1">
      <alignment horizontal="center" vertical="center" wrapText="1"/>
    </xf>
    <xf numFmtId="0" fontId="9" fillId="4" borderId="0" xfId="0" applyNumberFormat="1" applyFont="1" applyFill="1" applyBorder="1" applyAlignment="1">
      <alignment horizontal="center" vertical="center" shrinkToFit="1"/>
    </xf>
    <xf numFmtId="0" fontId="9" fillId="5" borderId="0" xfId="0" applyNumberFormat="1" applyFont="1" applyFill="1" applyBorder="1" applyAlignment="1">
      <alignment horizontal="center" vertical="center"/>
    </xf>
    <xf numFmtId="0" fontId="9" fillId="5" borderId="0" xfId="0" applyNumberFormat="1" applyFont="1" applyFill="1" applyBorder="1" applyAlignment="1">
      <alignment horizontal="center" vertical="center" shrinkToFit="1"/>
    </xf>
    <xf numFmtId="0" fontId="9" fillId="5" borderId="0" xfId="0" applyNumberFormat="1" applyFont="1" applyFill="1" applyBorder="1" applyAlignment="1">
      <alignment horizontal="center" vertical="center" wrapText="1"/>
    </xf>
    <xf numFmtId="0" fontId="9" fillId="5" borderId="0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0" xfId="0" applyNumberFormat="1" applyFont="1" applyFill="1" applyBorder="1" applyAlignment="1">
      <alignment horizontal="left" vertical="center" shrinkToFit="1"/>
    </xf>
    <xf numFmtId="0" fontId="10" fillId="0" borderId="0" xfId="0" applyNumberFormat="1" applyFont="1" applyFill="1" applyBorder="1" applyAlignment="1">
      <alignment horizontal="left" vertical="center"/>
    </xf>
    <xf numFmtId="0" fontId="9" fillId="0" borderId="0" xfId="36" applyNumberFormat="1" applyFont="1" applyFill="1" applyBorder="1" applyAlignment="1">
      <alignment horizontal="center" vertical="center" shrinkToFit="1"/>
    </xf>
    <xf numFmtId="176" fontId="9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left" vertical="center" wrapText="1"/>
    </xf>
    <xf numFmtId="14" fontId="9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left" vertical="center"/>
    </xf>
    <xf numFmtId="0" fontId="6" fillId="6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178" fontId="6" fillId="0" borderId="0" xfId="0" applyNumberFormat="1" applyFont="1" applyFill="1" applyBorder="1" applyAlignment="1">
      <alignment horizontal="left" vertical="center"/>
    </xf>
    <xf numFmtId="0" fontId="11" fillId="3" borderId="1" xfId="0" applyNumberFormat="1" applyFont="1" applyFill="1" applyBorder="1" applyAlignment="1">
      <alignment horizontal="center" vertical="center" readingOrder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2" xfId="0" applyNumberFormat="1" applyFont="1" applyFill="1" applyBorder="1" applyAlignment="1">
      <alignment horizontal="center" vertical="center" readingOrder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0" borderId="3" xfId="0" applyNumberFormat="1" applyFont="1" applyFill="1" applyBorder="1" applyAlignment="1">
      <alignment horizontal="center" vertical="center" readingOrder="1"/>
    </xf>
    <xf numFmtId="0" fontId="6" fillId="7" borderId="1" xfId="0" applyNumberFormat="1" applyFont="1" applyFill="1" applyBorder="1" applyAlignment="1">
      <alignment horizontal="center" vertical="center" wrapText="1" readingOrder="1"/>
    </xf>
    <xf numFmtId="0" fontId="6" fillId="7" borderId="1" xfId="0" applyNumberFormat="1" applyFont="1" applyFill="1" applyBorder="1" applyAlignment="1">
      <alignment horizontal="right" vertical="center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center" vertical="center" readingOrder="1"/>
    </xf>
    <xf numFmtId="0" fontId="6" fillId="8" borderId="1" xfId="0" applyNumberFormat="1" applyFont="1" applyFill="1" applyBorder="1" applyAlignment="1">
      <alignment horizontal="center" vertical="center" wrapText="1" readingOrder="1"/>
    </xf>
    <xf numFmtId="0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 readingOrder="1"/>
    </xf>
    <xf numFmtId="178" fontId="8" fillId="0" borderId="9" xfId="0" applyNumberFormat="1" applyFont="1" applyFill="1" applyBorder="1" applyAlignment="1">
      <alignment horizontal="center" vertical="center" wrapText="1" readingOrder="1"/>
    </xf>
    <xf numFmtId="178" fontId="6" fillId="0" borderId="1" xfId="0" applyNumberFormat="1" applyFont="1" applyFill="1" applyBorder="1" applyAlignment="1">
      <alignment horizontal="center" vertical="center" wrapText="1" readingOrder="1"/>
    </xf>
    <xf numFmtId="178" fontId="6" fillId="0" borderId="1" xfId="0" applyNumberFormat="1" applyFont="1" applyFill="1" applyBorder="1" applyAlignment="1">
      <alignment horizontal="center" vertical="center"/>
    </xf>
    <xf numFmtId="178" fontId="6" fillId="6" borderId="1" xfId="0" applyNumberFormat="1" applyFont="1" applyFill="1" applyBorder="1" applyAlignment="1">
      <alignment horizontal="center" vertical="center"/>
    </xf>
    <xf numFmtId="178" fontId="6" fillId="7" borderId="1" xfId="0" applyNumberFormat="1" applyFont="1" applyFill="1" applyBorder="1" applyAlignment="1">
      <alignment horizontal="center" vertical="center" wrapText="1" readingOrder="1"/>
    </xf>
    <xf numFmtId="178" fontId="6" fillId="7" borderId="1" xfId="0" applyNumberFormat="1" applyFont="1" applyFill="1" applyBorder="1" applyAlignment="1">
      <alignment horizontal="center" vertical="center"/>
    </xf>
    <xf numFmtId="178" fontId="6" fillId="9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 wrapText="1" readingOrder="1"/>
    </xf>
    <xf numFmtId="178" fontId="13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178" fontId="8" fillId="0" borderId="0" xfId="0" applyNumberFormat="1" applyFont="1" applyFill="1" applyAlignment="1">
      <alignment horizontal="left" vertical="center"/>
    </xf>
    <xf numFmtId="178" fontId="8" fillId="0" borderId="10" xfId="0" applyNumberFormat="1" applyFont="1" applyFill="1" applyBorder="1" applyAlignment="1">
      <alignment horizontal="center" vertical="center" readingOrder="1"/>
    </xf>
    <xf numFmtId="178" fontId="8" fillId="0" borderId="11" xfId="0" applyNumberFormat="1" applyFont="1" applyFill="1" applyBorder="1" applyAlignment="1">
      <alignment horizontal="center" vertical="center" readingOrder="1"/>
    </xf>
    <xf numFmtId="178" fontId="8" fillId="0" borderId="9" xfId="0" applyNumberFormat="1" applyFont="1" applyFill="1" applyBorder="1" applyAlignment="1">
      <alignment horizontal="center" vertical="center" readingOrder="1"/>
    </xf>
    <xf numFmtId="178" fontId="8" fillId="0" borderId="9" xfId="0" applyNumberFormat="1" applyFont="1" applyFill="1" applyBorder="1" applyAlignment="1">
      <alignment horizontal="center" vertical="center"/>
    </xf>
    <xf numFmtId="178" fontId="8" fillId="0" borderId="11" xfId="0" applyNumberFormat="1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4" fillId="0" borderId="0" xfId="0" applyFont="1">
      <alignment vertical="center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top"/>
    </xf>
    <xf numFmtId="0" fontId="15" fillId="0" borderId="0" xfId="0" applyFont="1" applyFill="1" applyAlignment="1">
      <alignment horizontal="left" vertical="top" shrinkToFit="1"/>
    </xf>
    <xf numFmtId="0" fontId="1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shrinkToFit="1"/>
    </xf>
    <xf numFmtId="0" fontId="15" fillId="0" borderId="12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left" vertical="center" shrinkToFit="1"/>
    </xf>
    <xf numFmtId="0" fontId="12" fillId="0" borderId="12" xfId="0" applyFont="1" applyFill="1" applyBorder="1" applyAlignment="1">
      <alignment horizontal="left" vertical="center" shrinkToFit="1"/>
    </xf>
    <xf numFmtId="0" fontId="8" fillId="0" borderId="12" xfId="0" applyFont="1" applyFill="1" applyBorder="1" applyAlignment="1">
      <alignment horizontal="left" vertical="top"/>
    </xf>
    <xf numFmtId="0" fontId="8" fillId="0" borderId="12" xfId="0" applyFont="1" applyFill="1" applyBorder="1" applyAlignment="1">
      <alignment horizontal="left" vertical="top" shrinkToFit="1"/>
    </xf>
    <xf numFmtId="0" fontId="15" fillId="0" borderId="12" xfId="0" applyFont="1" applyFill="1" applyBorder="1" applyAlignment="1">
      <alignment horizontal="left" vertical="top" shrinkToFit="1"/>
    </xf>
    <xf numFmtId="0" fontId="12" fillId="0" borderId="12" xfId="0" applyFont="1" applyFill="1" applyBorder="1" applyAlignment="1">
      <alignment horizontal="left" vertical="top"/>
    </xf>
    <xf numFmtId="0" fontId="12" fillId="0" borderId="12" xfId="0" applyFont="1" applyFill="1" applyBorder="1" applyAlignment="1">
      <alignment horizontal="left" vertical="top" shrinkToFit="1"/>
    </xf>
    <xf numFmtId="0" fontId="12" fillId="0" borderId="12" xfId="0" applyNumberFormat="1" applyFont="1" applyFill="1" applyBorder="1" applyAlignment="1">
      <alignment horizontal="left" vertical="center" shrinkToFit="1"/>
    </xf>
    <xf numFmtId="0" fontId="12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1" fillId="0" borderId="0" xfId="0" applyFont="1" applyFill="1" applyBorder="1" applyAlignment="1">
      <alignment horizontal="left" vertical="top"/>
    </xf>
    <xf numFmtId="179" fontId="8" fillId="0" borderId="12" xfId="0" applyNumberFormat="1" applyFont="1" applyFill="1" applyBorder="1" applyAlignment="1">
      <alignment horizontal="left" vertical="center"/>
    </xf>
    <xf numFmtId="179" fontId="12" fillId="0" borderId="12" xfId="0" applyNumberFormat="1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left" vertical="top"/>
    </xf>
    <xf numFmtId="0" fontId="16" fillId="0" borderId="12" xfId="0" applyFont="1" applyFill="1" applyBorder="1" applyAlignment="1">
      <alignment horizontal="left" vertical="top"/>
    </xf>
    <xf numFmtId="0" fontId="8" fillId="0" borderId="12" xfId="0" applyNumberFormat="1" applyFont="1" applyFill="1" applyBorder="1" applyAlignment="1">
      <alignment horizontal="left" vertical="center" shrinkToFit="1"/>
    </xf>
    <xf numFmtId="0" fontId="8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179" fontId="8" fillId="10" borderId="1" xfId="0" applyNumberFormat="1" applyFont="1" applyFill="1" applyBorder="1" applyAlignment="1">
      <alignment horizontal="center" vertical="center" wrapText="1"/>
    </xf>
    <xf numFmtId="179" fontId="8" fillId="10" borderId="1" xfId="0" applyNumberFormat="1" applyFont="1" applyFill="1" applyBorder="1" applyAlignment="1">
      <alignment horizontal="center" vertical="center"/>
    </xf>
    <xf numFmtId="58" fontId="8" fillId="1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9" fontId="8" fillId="10" borderId="2" xfId="0" applyNumberFormat="1" applyFont="1" applyFill="1" applyBorder="1" applyAlignment="1">
      <alignment horizontal="center" vertical="center" wrapText="1"/>
    </xf>
    <xf numFmtId="179" fontId="8" fillId="10" borderId="8" xfId="0" applyNumberFormat="1" applyFont="1" applyFill="1" applyBorder="1" applyAlignment="1">
      <alignment horizontal="center" vertical="center" wrapText="1"/>
    </xf>
    <xf numFmtId="179" fontId="8" fillId="10" borderId="3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8" fillId="0" borderId="0" xfId="0" applyFont="1" applyFill="1" applyBorder="1">
      <alignment vertical="center"/>
    </xf>
    <xf numFmtId="0" fontId="17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179" fontId="0" fillId="0" borderId="0" xfId="0" applyNumberFormat="1" applyFill="1" applyAlignment="1">
      <alignment horizontal="center" vertical="center"/>
    </xf>
    <xf numFmtId="0" fontId="4" fillId="0" borderId="0" xfId="10" applyFont="1" applyFill="1" applyAlignment="1" applyProtection="1">
      <alignment vertical="center"/>
    </xf>
    <xf numFmtId="0" fontId="4" fillId="0" borderId="0" xfId="10" applyFont="1" applyFill="1" applyAlignment="1" applyProtection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177" fontId="17" fillId="0" borderId="1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shrinkToFit="1"/>
    </xf>
    <xf numFmtId="179" fontId="17" fillId="0" borderId="1" xfId="0" applyNumberFormat="1" applyFont="1" applyFill="1" applyBorder="1" applyAlignment="1">
      <alignment horizontal="center" vertical="center" shrinkToFit="1"/>
    </xf>
    <xf numFmtId="177" fontId="17" fillId="0" borderId="1" xfId="0" applyNumberFormat="1" applyFont="1" applyFill="1" applyBorder="1" applyAlignment="1">
      <alignment horizontal="left" vertical="center" wrapText="1"/>
    </xf>
    <xf numFmtId="179" fontId="8" fillId="0" borderId="1" xfId="0" applyNumberFormat="1" applyFont="1" applyFill="1" applyBorder="1" applyAlignment="1">
      <alignment horizontal="center" vertical="center"/>
    </xf>
    <xf numFmtId="179" fontId="17" fillId="0" borderId="1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0" fontId="8" fillId="0" borderId="1" xfId="0" applyFont="1" applyFill="1" applyBorder="1">
      <alignment vertical="center"/>
    </xf>
    <xf numFmtId="0" fontId="17" fillId="0" borderId="1" xfId="0" applyFont="1" applyFill="1" applyBorder="1">
      <alignment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77" fontId="17" fillId="0" borderId="1" xfId="0" applyNumberFormat="1" applyFont="1" applyFill="1" applyBorder="1" applyAlignment="1">
      <alignment horizontal="left" vertical="center"/>
    </xf>
    <xf numFmtId="177" fontId="17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0" fillId="0" borderId="1" xfId="0" applyFill="1" applyBorder="1">
      <alignment vertical="center"/>
    </xf>
    <xf numFmtId="179" fontId="0" fillId="0" borderId="1" xfId="0" applyNumberFormat="1" applyFill="1" applyBorder="1" applyAlignment="1">
      <alignment horizontal="center" vertical="center"/>
    </xf>
    <xf numFmtId="0" fontId="0" fillId="0" borderId="0" xfId="53" applyAlignment="1">
      <alignment vertical="center" wrapText="1"/>
    </xf>
    <xf numFmtId="0" fontId="0" fillId="0" borderId="0" xfId="53" applyAlignment="1">
      <alignment vertical="center"/>
    </xf>
    <xf numFmtId="180" fontId="0" fillId="0" borderId="0" xfId="53" applyNumberFormat="1" applyAlignment="1">
      <alignment vertical="center"/>
    </xf>
    <xf numFmtId="0" fontId="11" fillId="3" borderId="1" xfId="53" applyFont="1" applyFill="1" applyBorder="1" applyAlignment="1">
      <alignment horizontal="center" vertical="center" wrapText="1"/>
    </xf>
    <xf numFmtId="0" fontId="0" fillId="11" borderId="0" xfId="53" applyFill="1" applyAlignment="1">
      <alignment vertical="center" wrapText="1"/>
    </xf>
    <xf numFmtId="0" fontId="8" fillId="11" borderId="1" xfId="53" applyFont="1" applyFill="1" applyBorder="1" applyAlignment="1">
      <alignment horizontal="center" vertical="center" wrapText="1"/>
    </xf>
    <xf numFmtId="0" fontId="8" fillId="12" borderId="1" xfId="53" applyFont="1" applyFill="1" applyBorder="1" applyAlignment="1">
      <alignment horizontal="center" vertical="center" wrapText="1"/>
    </xf>
    <xf numFmtId="180" fontId="8" fillId="12" borderId="1" xfId="53" applyNumberFormat="1" applyFont="1" applyFill="1" applyBorder="1" applyAlignment="1">
      <alignment horizontal="center" vertical="center" wrapText="1"/>
    </xf>
    <xf numFmtId="0" fontId="0" fillId="11" borderId="0" xfId="53" applyFill="1" applyAlignment="1">
      <alignment vertical="center"/>
    </xf>
    <xf numFmtId="0" fontId="8" fillId="11" borderId="1" xfId="53" applyFont="1" applyFill="1" applyBorder="1" applyAlignment="1">
      <alignment horizontal="center" vertical="center"/>
    </xf>
    <xf numFmtId="0" fontId="8" fillId="12" borderId="1" xfId="53" applyFont="1" applyFill="1" applyBorder="1" applyAlignment="1">
      <alignment horizontal="center" vertical="center"/>
    </xf>
    <xf numFmtId="180" fontId="8" fillId="12" borderId="1" xfId="53" applyNumberFormat="1" applyFont="1" applyFill="1" applyBorder="1" applyAlignment="1">
      <alignment horizontal="center" vertical="center"/>
    </xf>
    <xf numFmtId="0" fontId="19" fillId="11" borderId="1" xfId="53" applyFont="1" applyFill="1" applyBorder="1" applyAlignment="1">
      <alignment horizontal="center" vertical="center"/>
    </xf>
    <xf numFmtId="181" fontId="8" fillId="10" borderId="1" xfId="53" applyNumberFormat="1" applyFont="1" applyFill="1" applyBorder="1" applyAlignment="1">
      <alignment horizontal="center" vertical="center" wrapText="1"/>
    </xf>
    <xf numFmtId="182" fontId="8" fillId="10" borderId="1" xfId="53" applyNumberFormat="1" applyFont="1" applyFill="1" applyBorder="1" applyAlignment="1">
      <alignment horizontal="center" vertical="center" wrapText="1"/>
    </xf>
    <xf numFmtId="179" fontId="12" fillId="10" borderId="1" xfId="53" applyNumberFormat="1" applyFont="1" applyFill="1" applyBorder="1" applyAlignment="1">
      <alignment horizontal="center" vertical="center" wrapText="1"/>
    </xf>
    <xf numFmtId="58" fontId="8" fillId="10" borderId="1" xfId="53" applyNumberFormat="1" applyFont="1" applyFill="1" applyBorder="1" applyAlignment="1">
      <alignment horizontal="center" vertical="center" wrapText="1"/>
    </xf>
    <xf numFmtId="10" fontId="8" fillId="12" borderId="1" xfId="53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/>
    </xf>
    <xf numFmtId="10" fontId="19" fillId="12" borderId="1" xfId="53" applyNumberFormat="1" applyFont="1" applyFill="1" applyBorder="1" applyAlignment="1">
      <alignment horizontal="center" vertical="center"/>
    </xf>
    <xf numFmtId="0" fontId="19" fillId="0" borderId="1" xfId="53" applyFont="1" applyFill="1" applyBorder="1" applyAlignment="1">
      <alignment horizontal="center" vertical="center"/>
    </xf>
    <xf numFmtId="0" fontId="12" fillId="0" borderId="1" xfId="53" applyFont="1" applyBorder="1" applyAlignment="1">
      <alignment horizontal="center" vertical="center" wrapText="1"/>
    </xf>
    <xf numFmtId="0" fontId="8" fillId="12" borderId="1" xfId="53" applyFont="1" applyFill="1" applyBorder="1" applyAlignment="1">
      <alignment horizontal="left" vertical="center" wrapText="1"/>
    </xf>
    <xf numFmtId="0" fontId="12" fillId="0" borderId="1" xfId="53" applyFont="1" applyBorder="1" applyAlignment="1">
      <alignment vertical="center" wrapText="1"/>
    </xf>
    <xf numFmtId="0" fontId="0" fillId="0" borderId="0" xfId="0" applyFill="1" applyAlignment="1">
      <alignment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22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58" fontId="3" fillId="0" borderId="23" xfId="0" applyNumberFormat="1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0" fillId="13" borderId="0" xfId="0" applyFill="1">
      <alignment vertical="center"/>
    </xf>
    <xf numFmtId="0" fontId="0" fillId="0" borderId="0" xfId="0" applyNumberFormat="1">
      <alignment vertical="center"/>
    </xf>
    <xf numFmtId="177" fontId="0" fillId="0" borderId="0" xfId="0" applyNumberFormat="1">
      <alignment vertical="center"/>
    </xf>
    <xf numFmtId="177" fontId="0" fillId="13" borderId="0" xfId="0" applyNumberFormat="1" applyFill="1">
      <alignment vertical="center"/>
    </xf>
    <xf numFmtId="0" fontId="0" fillId="6" borderId="0" xfId="0" applyFill="1">
      <alignment vertical="center"/>
    </xf>
    <xf numFmtId="0" fontId="0" fillId="0" borderId="0" xfId="0" applyBorder="1">
      <alignment vertical="center"/>
    </xf>
    <xf numFmtId="0" fontId="0" fillId="13" borderId="0" xfId="0" applyFill="1" applyBorder="1">
      <alignment vertical="center"/>
    </xf>
    <xf numFmtId="0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177" fontId="0" fillId="13" borderId="0" xfId="0" applyNumberFormat="1" applyFill="1" applyBorder="1">
      <alignment vertical="center"/>
    </xf>
    <xf numFmtId="0" fontId="3" fillId="3" borderId="1" xfId="0" applyFont="1" applyFill="1" applyBorder="1" applyAlignment="1">
      <alignment horizontal="left" vertical="center"/>
    </xf>
    <xf numFmtId="0" fontId="15" fillId="0" borderId="1" xfId="0" applyFont="1" applyBorder="1">
      <alignment vertical="center"/>
    </xf>
    <xf numFmtId="0" fontId="20" fillId="0" borderId="1" xfId="10" applyFont="1" applyBorder="1" applyAlignment="1" applyProtection="1">
      <alignment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4" fillId="0" borderId="1" xfId="10" applyFont="1" applyBorder="1" applyAlignment="1" applyProtection="1">
      <alignment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1" fillId="0" borderId="0" xfId="0" applyFont="1">
      <alignment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注释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7 5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7 5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Normal" xfId="52"/>
    <cellStyle name="常规 2" xfId="53"/>
    <cellStyle name="常规 3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9" Type="http://schemas.openxmlformats.org/officeDocument/2006/relationships/image" Target="media/image89.png"/><Relationship Id="rId88" Type="http://schemas.openxmlformats.org/officeDocument/2006/relationships/image" Target="media/image88.png"/><Relationship Id="rId87" Type="http://schemas.openxmlformats.org/officeDocument/2006/relationships/image" Target="media/image87.png"/><Relationship Id="rId86" Type="http://schemas.openxmlformats.org/officeDocument/2006/relationships/image" Target="media/image86.png"/><Relationship Id="rId85" Type="http://schemas.openxmlformats.org/officeDocument/2006/relationships/image" Target="media/image85.png"/><Relationship Id="rId84" Type="http://schemas.openxmlformats.org/officeDocument/2006/relationships/image" Target="media/image84.png"/><Relationship Id="rId83" Type="http://schemas.openxmlformats.org/officeDocument/2006/relationships/image" Target="media/image83.png"/><Relationship Id="rId82" Type="http://schemas.openxmlformats.org/officeDocument/2006/relationships/image" Target="media/image82.png"/><Relationship Id="rId81" Type="http://schemas.openxmlformats.org/officeDocument/2006/relationships/image" Target="media/image81.png"/><Relationship Id="rId80" Type="http://schemas.openxmlformats.org/officeDocument/2006/relationships/image" Target="media/image80.png"/><Relationship Id="rId8" Type="http://schemas.openxmlformats.org/officeDocument/2006/relationships/image" Target="media/image8.png"/><Relationship Id="rId79" Type="http://schemas.openxmlformats.org/officeDocument/2006/relationships/image" Target="media/image79.png"/><Relationship Id="rId78" Type="http://schemas.openxmlformats.org/officeDocument/2006/relationships/image" Target="media/image78.png"/><Relationship Id="rId77" Type="http://schemas.openxmlformats.org/officeDocument/2006/relationships/image" Target="media/image77.png"/><Relationship Id="rId76" Type="http://schemas.openxmlformats.org/officeDocument/2006/relationships/image" Target="media/image76.png"/><Relationship Id="rId75" Type="http://schemas.openxmlformats.org/officeDocument/2006/relationships/image" Target="media/image75.png"/><Relationship Id="rId74" Type="http://schemas.openxmlformats.org/officeDocument/2006/relationships/image" Target="media/image74.png"/><Relationship Id="rId73" Type="http://schemas.openxmlformats.org/officeDocument/2006/relationships/image" Target="media/image73.png"/><Relationship Id="rId72" Type="http://schemas.openxmlformats.org/officeDocument/2006/relationships/image" Target="media/image72.png"/><Relationship Id="rId71" Type="http://schemas.openxmlformats.org/officeDocument/2006/relationships/image" Target="media/image71.png"/><Relationship Id="rId70" Type="http://schemas.openxmlformats.org/officeDocument/2006/relationships/image" Target="media/image70.png"/><Relationship Id="rId7" Type="http://schemas.openxmlformats.org/officeDocument/2006/relationships/image" Target="media/image7.png"/><Relationship Id="rId69" Type="http://schemas.openxmlformats.org/officeDocument/2006/relationships/image" Target="media/image69.png"/><Relationship Id="rId68" Type="http://schemas.openxmlformats.org/officeDocument/2006/relationships/image" Target="media/image68.png"/><Relationship Id="rId67" Type="http://schemas.openxmlformats.org/officeDocument/2006/relationships/image" Target="media/image6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www.wps.cn/officeDocument/2020/cellImage" Target="cellimages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1.xml"/><Relationship Id="rId21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10720%20&#37319;&#36141;&#26410;&#20132;&#28165;&#25253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报表"/>
      <sheetName val="Sheet1"/>
    </sheetNames>
    <sheetDataSet>
      <sheetData sheetId="0"/>
      <sheetData sheetId="1">
        <row r="1">
          <cell r="H1" t="str">
            <v>物料编码</v>
          </cell>
        </row>
        <row r="1">
          <cell r="U1" t="str">
            <v>未交清数量</v>
          </cell>
        </row>
        <row r="2">
          <cell r="H2">
            <v>681021012</v>
          </cell>
        </row>
        <row r="2">
          <cell r="U2">
            <v>5000</v>
          </cell>
        </row>
        <row r="3">
          <cell r="H3" t="str">
            <v>5C0056400PN0</v>
          </cell>
        </row>
        <row r="3">
          <cell r="U3">
            <v>769</v>
          </cell>
        </row>
        <row r="4">
          <cell r="H4" t="str">
            <v>5C0056400PN0</v>
          </cell>
        </row>
        <row r="4">
          <cell r="U4">
            <v>2300</v>
          </cell>
        </row>
        <row r="5">
          <cell r="H5" t="str">
            <v>5C0056400PN0</v>
          </cell>
        </row>
        <row r="5">
          <cell r="U5">
            <v>3000</v>
          </cell>
        </row>
        <row r="6">
          <cell r="H6" t="str">
            <v>5C0056400PN0</v>
          </cell>
        </row>
        <row r="6">
          <cell r="U6">
            <v>3000</v>
          </cell>
        </row>
        <row r="7">
          <cell r="H7" t="str">
            <v>5C0056400PN0</v>
          </cell>
        </row>
        <row r="7">
          <cell r="U7">
            <v>3000</v>
          </cell>
        </row>
        <row r="8">
          <cell r="H8" t="str">
            <v>5C0056400PN0</v>
          </cell>
        </row>
        <row r="8">
          <cell r="U8">
            <v>1200</v>
          </cell>
        </row>
        <row r="9">
          <cell r="H9" t="str">
            <v>5C0056400PN0</v>
          </cell>
        </row>
        <row r="9">
          <cell r="U9">
            <v>3000</v>
          </cell>
        </row>
        <row r="10">
          <cell r="H10" t="str">
            <v>5C0056400PN0</v>
          </cell>
        </row>
        <row r="10">
          <cell r="U10">
            <v>1900</v>
          </cell>
        </row>
        <row r="11">
          <cell r="H11" t="str">
            <v>5C0056400PN0</v>
          </cell>
        </row>
        <row r="11">
          <cell r="U11">
            <v>3000</v>
          </cell>
        </row>
        <row r="12">
          <cell r="H12" t="str">
            <v>5C0056400PN0</v>
          </cell>
        </row>
        <row r="12">
          <cell r="U12">
            <v>2000</v>
          </cell>
        </row>
        <row r="13">
          <cell r="H13" t="str">
            <v>5C0056400PN0</v>
          </cell>
        </row>
        <row r="13">
          <cell r="U13">
            <v>2000</v>
          </cell>
        </row>
        <row r="14">
          <cell r="H14" t="str">
            <v>5C0056400PN0</v>
          </cell>
        </row>
        <row r="14">
          <cell r="U14">
            <v>3000</v>
          </cell>
        </row>
        <row r="15">
          <cell r="H15" t="str">
            <v>5C0056400PN0</v>
          </cell>
        </row>
        <row r="15">
          <cell r="U15">
            <v>2000</v>
          </cell>
        </row>
        <row r="16">
          <cell r="H16" t="str">
            <v>5C0056400PN0</v>
          </cell>
        </row>
        <row r="16">
          <cell r="U16">
            <v>800</v>
          </cell>
        </row>
        <row r="17">
          <cell r="H17" t="str">
            <v>5C0056400PN0</v>
          </cell>
        </row>
        <row r="17">
          <cell r="U17">
            <v>2000</v>
          </cell>
        </row>
        <row r="18">
          <cell r="H18" t="str">
            <v>5C0056400PN0</v>
          </cell>
        </row>
        <row r="18">
          <cell r="U18">
            <v>2000</v>
          </cell>
        </row>
        <row r="19">
          <cell r="H19" t="str">
            <v>5C0056400PN0</v>
          </cell>
        </row>
        <row r="19">
          <cell r="U19">
            <v>2000</v>
          </cell>
        </row>
        <row r="20">
          <cell r="H20" t="str">
            <v>5C0056400PN0</v>
          </cell>
        </row>
        <row r="20">
          <cell r="U20">
            <v>2000</v>
          </cell>
        </row>
        <row r="21">
          <cell r="H21" t="str">
            <v>5C0056400PN0</v>
          </cell>
        </row>
        <row r="21">
          <cell r="U21">
            <v>2000</v>
          </cell>
        </row>
        <row r="22">
          <cell r="H22" t="str">
            <v>5C0056400PN0</v>
          </cell>
        </row>
        <row r="22">
          <cell r="U22">
            <v>2000</v>
          </cell>
        </row>
        <row r="23">
          <cell r="H23" t="str">
            <v>5C0056400PN0</v>
          </cell>
        </row>
        <row r="23">
          <cell r="U23">
            <v>2000</v>
          </cell>
        </row>
        <row r="24">
          <cell r="H24" t="str">
            <v>5C0056400PN0</v>
          </cell>
        </row>
        <row r="24">
          <cell r="U24">
            <v>2000</v>
          </cell>
        </row>
        <row r="25">
          <cell r="H25" t="str">
            <v>5C0056400PN0</v>
          </cell>
        </row>
        <row r="25">
          <cell r="U25">
            <v>2200</v>
          </cell>
        </row>
        <row r="26">
          <cell r="H26" t="str">
            <v>5C0062900PN0</v>
          </cell>
        </row>
        <row r="26">
          <cell r="U26">
            <v>2300</v>
          </cell>
        </row>
        <row r="27">
          <cell r="H27" t="str">
            <v>681074012PN</v>
          </cell>
        </row>
        <row r="27">
          <cell r="U27">
            <v>3220</v>
          </cell>
        </row>
        <row r="28">
          <cell r="H28" t="str">
            <v>681074012PN</v>
          </cell>
        </row>
        <row r="28">
          <cell r="U28">
            <v>10500</v>
          </cell>
        </row>
        <row r="29">
          <cell r="H29" t="str">
            <v>681074012PN</v>
          </cell>
        </row>
        <row r="29">
          <cell r="U29">
            <v>10000</v>
          </cell>
        </row>
        <row r="30">
          <cell r="H30" t="str">
            <v>681074012PN</v>
          </cell>
        </row>
        <row r="30">
          <cell r="U30">
            <v>16000</v>
          </cell>
        </row>
        <row r="31">
          <cell r="H31" t="str">
            <v>681074012PN</v>
          </cell>
        </row>
        <row r="31">
          <cell r="U31">
            <v>57000</v>
          </cell>
        </row>
        <row r="32">
          <cell r="H32" t="str">
            <v>681074012PN</v>
          </cell>
        </row>
        <row r="32">
          <cell r="U32">
            <v>10500</v>
          </cell>
        </row>
        <row r="33">
          <cell r="H33" t="str">
            <v>681074012PN</v>
          </cell>
        </row>
        <row r="33">
          <cell r="U33">
            <v>10500</v>
          </cell>
        </row>
        <row r="34">
          <cell r="H34" t="str">
            <v>681074012PN</v>
          </cell>
        </row>
        <row r="34">
          <cell r="U34">
            <v>38000</v>
          </cell>
        </row>
        <row r="35">
          <cell r="H35" t="str">
            <v>681074012PN</v>
          </cell>
        </row>
        <row r="35">
          <cell r="U35">
            <v>10000</v>
          </cell>
        </row>
        <row r="36">
          <cell r="H36" t="str">
            <v>681074012PN</v>
          </cell>
        </row>
        <row r="36">
          <cell r="U36">
            <v>19000</v>
          </cell>
        </row>
        <row r="37">
          <cell r="H37" t="str">
            <v>6F010301PN</v>
          </cell>
        </row>
        <row r="37">
          <cell r="U37">
            <v>2200</v>
          </cell>
        </row>
        <row r="38">
          <cell r="H38" t="str">
            <v>6F010301PN</v>
          </cell>
        </row>
        <row r="38">
          <cell r="U38">
            <v>900</v>
          </cell>
        </row>
        <row r="39">
          <cell r="H39" t="str">
            <v>6F010301PN</v>
          </cell>
        </row>
        <row r="39">
          <cell r="U39">
            <v>190</v>
          </cell>
        </row>
        <row r="40">
          <cell r="H40" t="str">
            <v>6F010301PN</v>
          </cell>
        </row>
        <row r="40">
          <cell r="U40">
            <v>189</v>
          </cell>
        </row>
        <row r="41">
          <cell r="H41" t="str">
            <v>6F010301PN</v>
          </cell>
        </row>
        <row r="41">
          <cell r="U41">
            <v>189</v>
          </cell>
        </row>
        <row r="42">
          <cell r="H42" t="str">
            <v>6F010501PN</v>
          </cell>
        </row>
        <row r="42">
          <cell r="U42">
            <v>8800</v>
          </cell>
        </row>
        <row r="43">
          <cell r="H43" t="str">
            <v>6F010501PN</v>
          </cell>
        </row>
        <row r="43">
          <cell r="U43">
            <v>10000</v>
          </cell>
        </row>
        <row r="44">
          <cell r="H44" t="str">
            <v>6F010501PN</v>
          </cell>
        </row>
        <row r="44">
          <cell r="U44">
            <v>10000</v>
          </cell>
        </row>
        <row r="45">
          <cell r="H45" t="str">
            <v>6F010501PN</v>
          </cell>
        </row>
        <row r="45">
          <cell r="U45">
            <v>11000</v>
          </cell>
        </row>
        <row r="46">
          <cell r="H46" t="str">
            <v>6F010501PN</v>
          </cell>
        </row>
        <row r="46">
          <cell r="U46">
            <v>11000</v>
          </cell>
        </row>
        <row r="47">
          <cell r="H47" t="str">
            <v>6F010501PN</v>
          </cell>
        </row>
        <row r="47">
          <cell r="U47">
            <v>12000</v>
          </cell>
        </row>
        <row r="48">
          <cell r="H48" t="str">
            <v>6F010501PN</v>
          </cell>
        </row>
        <row r="48">
          <cell r="U48">
            <v>8200</v>
          </cell>
        </row>
        <row r="49">
          <cell r="H49" t="str">
            <v>6F010501PN</v>
          </cell>
        </row>
        <row r="49">
          <cell r="U49">
            <v>12000</v>
          </cell>
        </row>
        <row r="50">
          <cell r="H50" t="str">
            <v>6F031001PN</v>
          </cell>
        </row>
        <row r="50">
          <cell r="U50">
            <v>4000</v>
          </cell>
        </row>
        <row r="51">
          <cell r="H51" t="str">
            <v>6F031001PN</v>
          </cell>
        </row>
        <row r="51">
          <cell r="U51">
            <v>4000</v>
          </cell>
        </row>
        <row r="52">
          <cell r="H52" t="str">
            <v>6F031101PN</v>
          </cell>
        </row>
        <row r="52">
          <cell r="U52">
            <v>4000</v>
          </cell>
        </row>
        <row r="53">
          <cell r="H53" t="str">
            <v>6F031101PN</v>
          </cell>
        </row>
        <row r="53">
          <cell r="U53">
            <v>2000</v>
          </cell>
        </row>
        <row r="54">
          <cell r="H54" t="str">
            <v>6F031101PN</v>
          </cell>
        </row>
        <row r="54">
          <cell r="U54">
            <v>2000</v>
          </cell>
        </row>
        <row r="55">
          <cell r="H55" t="str">
            <v>6F031101PN</v>
          </cell>
        </row>
        <row r="55">
          <cell r="U55">
            <v>552</v>
          </cell>
        </row>
        <row r="56">
          <cell r="H56" t="str">
            <v>6F031101PN</v>
          </cell>
        </row>
        <row r="56">
          <cell r="U56">
            <v>2000</v>
          </cell>
        </row>
        <row r="57">
          <cell r="H57" t="str">
            <v>6F031101PN</v>
          </cell>
        </row>
        <row r="57">
          <cell r="U57">
            <v>4000</v>
          </cell>
        </row>
        <row r="58">
          <cell r="H58" t="str">
            <v>6F031101PN</v>
          </cell>
        </row>
        <row r="58">
          <cell r="U58">
            <v>2000</v>
          </cell>
        </row>
        <row r="59">
          <cell r="H59" t="str">
            <v>6F031101PN</v>
          </cell>
        </row>
        <row r="59">
          <cell r="U59">
            <v>4500</v>
          </cell>
        </row>
        <row r="60">
          <cell r="H60" t="str">
            <v>6F031101PN</v>
          </cell>
        </row>
        <row r="60">
          <cell r="U60">
            <v>2000</v>
          </cell>
        </row>
        <row r="61">
          <cell r="H61" t="str">
            <v>6F031101PN</v>
          </cell>
        </row>
        <row r="61">
          <cell r="U61">
            <v>2000</v>
          </cell>
        </row>
        <row r="62">
          <cell r="H62" t="str">
            <v>6F038501PN</v>
          </cell>
        </row>
        <row r="62">
          <cell r="U62">
            <v>4000</v>
          </cell>
        </row>
        <row r="63">
          <cell r="H63" t="str">
            <v>6F038501PN</v>
          </cell>
        </row>
        <row r="63">
          <cell r="U63">
            <v>500</v>
          </cell>
        </row>
        <row r="64">
          <cell r="H64" t="str">
            <v>6F051401PN</v>
          </cell>
        </row>
        <row r="64">
          <cell r="U64">
            <v>5161</v>
          </cell>
        </row>
        <row r="65">
          <cell r="H65" t="str">
            <v>6F052701PN</v>
          </cell>
        </row>
        <row r="65">
          <cell r="U65">
            <v>980</v>
          </cell>
        </row>
        <row r="66">
          <cell r="H66" t="str">
            <v>6F052701PN</v>
          </cell>
        </row>
        <row r="66">
          <cell r="U66">
            <v>12632</v>
          </cell>
        </row>
        <row r="67">
          <cell r="H67" t="str">
            <v>6F059501CP</v>
          </cell>
        </row>
        <row r="67">
          <cell r="U67">
            <v>3300</v>
          </cell>
        </row>
        <row r="68">
          <cell r="H68" t="str">
            <v>6F059501CP</v>
          </cell>
        </row>
        <row r="68">
          <cell r="U68">
            <v>6300</v>
          </cell>
        </row>
        <row r="69">
          <cell r="H69" t="str">
            <v>6F059501CP</v>
          </cell>
        </row>
        <row r="69">
          <cell r="U69">
            <v>2014</v>
          </cell>
        </row>
        <row r="70">
          <cell r="H70" t="str">
            <v>6F059501CP</v>
          </cell>
        </row>
        <row r="70">
          <cell r="U70">
            <v>5000</v>
          </cell>
        </row>
        <row r="71">
          <cell r="H71" t="str">
            <v>6F059501CP</v>
          </cell>
        </row>
        <row r="71">
          <cell r="U71">
            <v>3700</v>
          </cell>
        </row>
        <row r="72">
          <cell r="H72" t="str">
            <v>6F099101PN</v>
          </cell>
        </row>
        <row r="72">
          <cell r="U72">
            <v>253</v>
          </cell>
        </row>
        <row r="73">
          <cell r="H73" t="str">
            <v>6F099101PN</v>
          </cell>
        </row>
        <row r="73">
          <cell r="U73">
            <v>2620</v>
          </cell>
        </row>
        <row r="74">
          <cell r="H74" t="str">
            <v>6F099101PN</v>
          </cell>
        </row>
        <row r="74">
          <cell r="U74">
            <v>2480</v>
          </cell>
        </row>
        <row r="75">
          <cell r="H75" t="str">
            <v>6F099101PN</v>
          </cell>
        </row>
        <row r="75">
          <cell r="U75">
            <v>382</v>
          </cell>
        </row>
        <row r="76">
          <cell r="H76" t="str">
            <v>6F099101PN</v>
          </cell>
        </row>
        <row r="76">
          <cell r="U76">
            <v>5000</v>
          </cell>
        </row>
        <row r="77">
          <cell r="H77" t="str">
            <v>6F099101PN</v>
          </cell>
        </row>
        <row r="77">
          <cell r="U77">
            <v>2680</v>
          </cell>
        </row>
        <row r="78">
          <cell r="H78" t="str">
            <v>6F099101PN</v>
          </cell>
        </row>
        <row r="78">
          <cell r="U78">
            <v>21000</v>
          </cell>
        </row>
        <row r="79">
          <cell r="H79" t="str">
            <v>6F103301CP</v>
          </cell>
        </row>
        <row r="79">
          <cell r="U79">
            <v>2016</v>
          </cell>
        </row>
        <row r="80">
          <cell r="H80" t="str">
            <v>6F103301CP</v>
          </cell>
        </row>
        <row r="80">
          <cell r="U80">
            <v>2016</v>
          </cell>
        </row>
        <row r="81">
          <cell r="H81" t="str">
            <v>6F103301CP</v>
          </cell>
        </row>
        <row r="81">
          <cell r="U81">
            <v>2016</v>
          </cell>
        </row>
        <row r="82">
          <cell r="H82" t="str">
            <v>6F122401PN</v>
          </cell>
        </row>
        <row r="82">
          <cell r="U82">
            <v>2287</v>
          </cell>
        </row>
        <row r="83">
          <cell r="H83" t="str">
            <v>6F122601NT</v>
          </cell>
        </row>
        <row r="83">
          <cell r="U83">
            <v>2300</v>
          </cell>
        </row>
        <row r="84">
          <cell r="H84" t="str">
            <v>6F122601NT</v>
          </cell>
        </row>
        <row r="84">
          <cell r="U84">
            <v>4000</v>
          </cell>
        </row>
        <row r="85">
          <cell r="H85" t="str">
            <v>6F132701PN</v>
          </cell>
        </row>
        <row r="85">
          <cell r="U85">
            <v>950</v>
          </cell>
        </row>
        <row r="86">
          <cell r="H86" t="str">
            <v>6F137001PN</v>
          </cell>
        </row>
        <row r="86">
          <cell r="U86">
            <v>2100</v>
          </cell>
        </row>
        <row r="87">
          <cell r="H87" t="str">
            <v>6F146301PN</v>
          </cell>
        </row>
        <row r="87">
          <cell r="U87">
            <v>2372</v>
          </cell>
        </row>
        <row r="88">
          <cell r="H88" t="str">
            <v>6F146301PN</v>
          </cell>
        </row>
        <row r="88">
          <cell r="U88">
            <v>2372</v>
          </cell>
        </row>
        <row r="89">
          <cell r="H89" t="str">
            <v>6F146301PN</v>
          </cell>
        </row>
        <row r="89">
          <cell r="U89">
            <v>590</v>
          </cell>
        </row>
        <row r="90">
          <cell r="H90" t="str">
            <v>6F146301PN</v>
          </cell>
        </row>
        <row r="90">
          <cell r="U90">
            <v>2372</v>
          </cell>
        </row>
        <row r="91">
          <cell r="H91" t="str">
            <v>6F163601PN</v>
          </cell>
        </row>
        <row r="91">
          <cell r="U91">
            <v>400</v>
          </cell>
        </row>
        <row r="92">
          <cell r="H92" t="str">
            <v>6F163601PN</v>
          </cell>
        </row>
        <row r="92">
          <cell r="U92">
            <v>209</v>
          </cell>
        </row>
        <row r="93">
          <cell r="H93" t="str">
            <v>6F166601PN</v>
          </cell>
        </row>
        <row r="93">
          <cell r="U93">
            <v>5000</v>
          </cell>
        </row>
        <row r="94">
          <cell r="H94" t="str">
            <v>6F166601PN</v>
          </cell>
        </row>
        <row r="94">
          <cell r="U94">
            <v>5000</v>
          </cell>
        </row>
        <row r="95">
          <cell r="H95" t="str">
            <v>6F168901NT</v>
          </cell>
        </row>
        <row r="95">
          <cell r="U95">
            <v>1000</v>
          </cell>
        </row>
        <row r="96">
          <cell r="H96" t="str">
            <v>6F168901NT</v>
          </cell>
        </row>
        <row r="96">
          <cell r="U96">
            <v>2000</v>
          </cell>
        </row>
        <row r="97">
          <cell r="H97" t="str">
            <v>6F185901CP</v>
          </cell>
        </row>
        <row r="97">
          <cell r="U97">
            <v>426</v>
          </cell>
        </row>
        <row r="98">
          <cell r="H98" t="str">
            <v>6F185901CP</v>
          </cell>
        </row>
        <row r="98">
          <cell r="U98">
            <v>1500</v>
          </cell>
        </row>
        <row r="99">
          <cell r="H99" t="str">
            <v>6F188101NT</v>
          </cell>
        </row>
        <row r="99">
          <cell r="U99">
            <v>5800</v>
          </cell>
        </row>
        <row r="100">
          <cell r="H100" t="str">
            <v>6F188101NT</v>
          </cell>
        </row>
        <row r="100">
          <cell r="U100">
            <v>400</v>
          </cell>
        </row>
        <row r="101">
          <cell r="H101" t="str">
            <v>6F188101NT</v>
          </cell>
        </row>
        <row r="101">
          <cell r="U101">
            <v>2600</v>
          </cell>
        </row>
        <row r="102">
          <cell r="H102" t="str">
            <v>6F188101NT</v>
          </cell>
        </row>
        <row r="102">
          <cell r="U102">
            <v>6200</v>
          </cell>
        </row>
        <row r="103">
          <cell r="H103" t="str">
            <v>6F191801PN</v>
          </cell>
        </row>
        <row r="103">
          <cell r="U103">
            <v>2741</v>
          </cell>
        </row>
        <row r="104">
          <cell r="H104" t="str">
            <v>6F191801PN</v>
          </cell>
        </row>
        <row r="104">
          <cell r="U104">
            <v>9000</v>
          </cell>
        </row>
        <row r="105">
          <cell r="H105" t="str">
            <v>6F191801PN</v>
          </cell>
        </row>
        <row r="105">
          <cell r="U105">
            <v>9000</v>
          </cell>
        </row>
        <row r="106">
          <cell r="H106" t="str">
            <v>6F191801PN</v>
          </cell>
        </row>
        <row r="106">
          <cell r="U106">
            <v>9000</v>
          </cell>
        </row>
        <row r="107">
          <cell r="H107" t="str">
            <v>6F191801PN</v>
          </cell>
        </row>
        <row r="107">
          <cell r="U107">
            <v>7400</v>
          </cell>
        </row>
        <row r="108">
          <cell r="H108" t="str">
            <v>6F191801PN</v>
          </cell>
        </row>
        <row r="108">
          <cell r="U108">
            <v>5000</v>
          </cell>
        </row>
        <row r="109">
          <cell r="H109" t="str">
            <v>6F191801PN</v>
          </cell>
        </row>
        <row r="109">
          <cell r="U109">
            <v>5000</v>
          </cell>
        </row>
        <row r="110">
          <cell r="H110" t="str">
            <v>6F191801PN</v>
          </cell>
        </row>
        <row r="110">
          <cell r="U110">
            <v>5000</v>
          </cell>
        </row>
        <row r="111">
          <cell r="H111" t="str">
            <v>6F191801PN</v>
          </cell>
        </row>
        <row r="111">
          <cell r="U111">
            <v>5000</v>
          </cell>
        </row>
        <row r="112">
          <cell r="H112" t="str">
            <v>6F191801PN</v>
          </cell>
        </row>
        <row r="112">
          <cell r="U112">
            <v>2000</v>
          </cell>
        </row>
        <row r="113">
          <cell r="H113" t="str">
            <v>6F191801PN</v>
          </cell>
        </row>
        <row r="113">
          <cell r="U113">
            <v>7000</v>
          </cell>
        </row>
        <row r="114">
          <cell r="H114" t="str">
            <v>6F196601NT</v>
          </cell>
        </row>
        <row r="114">
          <cell r="U114">
            <v>11300</v>
          </cell>
        </row>
        <row r="115">
          <cell r="H115" t="str">
            <v>6F197201PN</v>
          </cell>
        </row>
        <row r="115">
          <cell r="U115">
            <v>2408</v>
          </cell>
        </row>
        <row r="116">
          <cell r="H116" t="str">
            <v>6F197201PN</v>
          </cell>
        </row>
        <row r="116">
          <cell r="U116">
            <v>200</v>
          </cell>
        </row>
        <row r="117">
          <cell r="H117" t="str">
            <v>6F199901NT</v>
          </cell>
        </row>
        <row r="117">
          <cell r="U117">
            <v>4500</v>
          </cell>
        </row>
        <row r="118">
          <cell r="H118" t="str">
            <v>6F205201CP</v>
          </cell>
        </row>
        <row r="118">
          <cell r="U118">
            <v>360</v>
          </cell>
        </row>
        <row r="119">
          <cell r="H119" t="str">
            <v>6F205201CP</v>
          </cell>
        </row>
        <row r="119">
          <cell r="U119">
            <v>2000</v>
          </cell>
        </row>
        <row r="120">
          <cell r="H120" t="str">
            <v>6F207501NT</v>
          </cell>
        </row>
        <row r="120">
          <cell r="U120">
            <v>4500</v>
          </cell>
        </row>
        <row r="121">
          <cell r="H121" t="str">
            <v>6F207501NT</v>
          </cell>
        </row>
        <row r="121">
          <cell r="U121">
            <v>4500</v>
          </cell>
        </row>
        <row r="122">
          <cell r="H122" t="str">
            <v>6F207501NT</v>
          </cell>
        </row>
        <row r="122">
          <cell r="U122">
            <v>5000</v>
          </cell>
        </row>
        <row r="123">
          <cell r="H123" t="str">
            <v>6F207501NT</v>
          </cell>
        </row>
        <row r="123">
          <cell r="U123">
            <v>300</v>
          </cell>
        </row>
        <row r="124">
          <cell r="H124" t="str">
            <v>6F211801NT</v>
          </cell>
        </row>
        <row r="124">
          <cell r="U124">
            <v>4000</v>
          </cell>
        </row>
        <row r="125">
          <cell r="H125" t="str">
            <v>6F211801NT</v>
          </cell>
        </row>
        <row r="125">
          <cell r="U125">
            <v>4000</v>
          </cell>
        </row>
        <row r="126">
          <cell r="H126" t="str">
            <v>6F211801NT</v>
          </cell>
        </row>
        <row r="126">
          <cell r="U126">
            <v>4000</v>
          </cell>
        </row>
        <row r="127">
          <cell r="H127" t="str">
            <v>6F211801NT</v>
          </cell>
        </row>
        <row r="127">
          <cell r="U127">
            <v>4000</v>
          </cell>
        </row>
        <row r="128">
          <cell r="H128" t="str">
            <v>6F211801NT</v>
          </cell>
        </row>
        <row r="128">
          <cell r="U128">
            <v>4000</v>
          </cell>
        </row>
        <row r="129">
          <cell r="H129" t="str">
            <v>6F211801NT</v>
          </cell>
        </row>
        <row r="129">
          <cell r="U129">
            <v>3000</v>
          </cell>
        </row>
        <row r="130">
          <cell r="H130" t="str">
            <v>6F219001PN</v>
          </cell>
        </row>
        <row r="130">
          <cell r="U130">
            <v>11892</v>
          </cell>
        </row>
        <row r="131">
          <cell r="H131" t="str">
            <v>6F219101CP</v>
          </cell>
        </row>
        <row r="131">
          <cell r="U131">
            <v>5279</v>
          </cell>
        </row>
        <row r="132">
          <cell r="H132" t="str">
            <v>6F219101CP</v>
          </cell>
        </row>
        <row r="132">
          <cell r="U132">
            <v>1000</v>
          </cell>
        </row>
        <row r="133">
          <cell r="H133" t="str">
            <v>6F219101CP</v>
          </cell>
        </row>
        <row r="133">
          <cell r="U133">
            <v>6600</v>
          </cell>
        </row>
        <row r="134">
          <cell r="H134" t="str">
            <v>6F219101CP</v>
          </cell>
        </row>
        <row r="134">
          <cell r="U134">
            <v>7400</v>
          </cell>
        </row>
        <row r="135">
          <cell r="H135" t="str">
            <v>6F219501PN</v>
          </cell>
        </row>
        <row r="135">
          <cell r="U135">
            <v>6400</v>
          </cell>
        </row>
        <row r="136">
          <cell r="H136" t="str">
            <v>6F219501PN</v>
          </cell>
        </row>
        <row r="136">
          <cell r="U136">
            <v>6400</v>
          </cell>
        </row>
        <row r="137">
          <cell r="H137" t="str">
            <v>6F221101NT</v>
          </cell>
        </row>
        <row r="137">
          <cell r="U137">
            <v>4600</v>
          </cell>
        </row>
        <row r="138">
          <cell r="H138" t="str">
            <v>6F221101NT</v>
          </cell>
        </row>
        <row r="138">
          <cell r="U138">
            <v>4300</v>
          </cell>
        </row>
        <row r="139">
          <cell r="H139" t="str">
            <v>6F221101NT</v>
          </cell>
        </row>
        <row r="139">
          <cell r="U139">
            <v>400</v>
          </cell>
        </row>
        <row r="140">
          <cell r="H140" t="str">
            <v>6F221101NT</v>
          </cell>
        </row>
        <row r="140">
          <cell r="U140">
            <v>4480</v>
          </cell>
        </row>
        <row r="141">
          <cell r="H141" t="str">
            <v>6F222901NT</v>
          </cell>
        </row>
        <row r="141">
          <cell r="U141">
            <v>300</v>
          </cell>
        </row>
        <row r="142">
          <cell r="H142" t="str">
            <v>6F225901PN</v>
          </cell>
        </row>
        <row r="142">
          <cell r="U142">
            <v>3356</v>
          </cell>
        </row>
        <row r="143">
          <cell r="H143" t="str">
            <v>6F226701PN</v>
          </cell>
        </row>
        <row r="143">
          <cell r="U143">
            <v>1940</v>
          </cell>
        </row>
        <row r="144">
          <cell r="H144" t="str">
            <v>6F226701PN</v>
          </cell>
        </row>
        <row r="144">
          <cell r="U144">
            <v>4000</v>
          </cell>
        </row>
        <row r="145">
          <cell r="H145" t="str">
            <v>6F226701PN</v>
          </cell>
        </row>
        <row r="145">
          <cell r="U145">
            <v>4000</v>
          </cell>
        </row>
        <row r="146">
          <cell r="H146" t="str">
            <v>6F226701PN</v>
          </cell>
        </row>
        <row r="146">
          <cell r="U146">
            <v>4000</v>
          </cell>
        </row>
        <row r="147">
          <cell r="H147" t="str">
            <v>6F226701PN</v>
          </cell>
        </row>
        <row r="147">
          <cell r="U147">
            <v>4000</v>
          </cell>
        </row>
        <row r="148">
          <cell r="H148" t="str">
            <v>6F226701PN</v>
          </cell>
        </row>
        <row r="148">
          <cell r="U148">
            <v>3500</v>
          </cell>
        </row>
        <row r="149">
          <cell r="H149" t="str">
            <v>6F226701PN</v>
          </cell>
        </row>
        <row r="149">
          <cell r="U149">
            <v>6700</v>
          </cell>
        </row>
        <row r="150">
          <cell r="H150" t="str">
            <v>6F226901PN</v>
          </cell>
        </row>
        <row r="150">
          <cell r="U150">
            <v>4300</v>
          </cell>
        </row>
        <row r="151">
          <cell r="H151" t="str">
            <v>6F226901PN</v>
          </cell>
        </row>
        <row r="151">
          <cell r="U151">
            <v>4300</v>
          </cell>
        </row>
        <row r="152">
          <cell r="H152" t="str">
            <v>6F226901PN</v>
          </cell>
        </row>
        <row r="152">
          <cell r="U152">
            <v>4300</v>
          </cell>
        </row>
        <row r="153">
          <cell r="H153" t="str">
            <v>6F226901PN</v>
          </cell>
        </row>
        <row r="153">
          <cell r="U153">
            <v>4300</v>
          </cell>
        </row>
        <row r="154">
          <cell r="H154" t="str">
            <v>6F226901PN</v>
          </cell>
        </row>
        <row r="154">
          <cell r="U154">
            <v>4300</v>
          </cell>
        </row>
        <row r="155">
          <cell r="H155" t="str">
            <v>6F226901PN</v>
          </cell>
        </row>
        <row r="155">
          <cell r="U155">
            <v>4300</v>
          </cell>
        </row>
        <row r="156">
          <cell r="H156" t="str">
            <v>6F226901PN</v>
          </cell>
        </row>
        <row r="156">
          <cell r="U156">
            <v>4300</v>
          </cell>
        </row>
        <row r="157">
          <cell r="H157" t="str">
            <v>6F226901PN</v>
          </cell>
        </row>
        <row r="157">
          <cell r="U157">
            <v>4300</v>
          </cell>
        </row>
        <row r="158">
          <cell r="H158" t="str">
            <v>6F226901PN</v>
          </cell>
        </row>
        <row r="158">
          <cell r="U158">
            <v>4300</v>
          </cell>
        </row>
        <row r="159">
          <cell r="H159" t="str">
            <v>6F226901PN</v>
          </cell>
        </row>
        <row r="159">
          <cell r="U159">
            <v>4300</v>
          </cell>
        </row>
        <row r="160">
          <cell r="H160" t="str">
            <v>6F226901PN</v>
          </cell>
        </row>
        <row r="160">
          <cell r="U160">
            <v>4300</v>
          </cell>
        </row>
        <row r="161">
          <cell r="H161" t="str">
            <v>6F234101CP</v>
          </cell>
        </row>
        <row r="161">
          <cell r="U161">
            <v>151</v>
          </cell>
        </row>
        <row r="162">
          <cell r="H162" t="str">
            <v>6F234101CP</v>
          </cell>
        </row>
        <row r="162">
          <cell r="U162">
            <v>500</v>
          </cell>
        </row>
        <row r="163">
          <cell r="H163" t="str">
            <v>6F234101CP</v>
          </cell>
        </row>
        <row r="163">
          <cell r="U163">
            <v>600</v>
          </cell>
        </row>
        <row r="164">
          <cell r="H164" t="str">
            <v>6F234101CP</v>
          </cell>
        </row>
        <row r="164">
          <cell r="U164">
            <v>300</v>
          </cell>
        </row>
        <row r="165">
          <cell r="H165" t="str">
            <v>6F234101CP</v>
          </cell>
        </row>
        <row r="165">
          <cell r="U165">
            <v>550</v>
          </cell>
        </row>
        <row r="166">
          <cell r="H166" t="str">
            <v>6F234101CP</v>
          </cell>
        </row>
        <row r="166">
          <cell r="U166">
            <v>550</v>
          </cell>
        </row>
        <row r="167">
          <cell r="H167" t="str">
            <v>6F234101CP</v>
          </cell>
        </row>
        <row r="167">
          <cell r="U167">
            <v>600</v>
          </cell>
        </row>
        <row r="168">
          <cell r="H168" t="str">
            <v>6F236901NT</v>
          </cell>
        </row>
        <row r="168">
          <cell r="U168">
            <v>3100</v>
          </cell>
        </row>
        <row r="169">
          <cell r="H169" t="str">
            <v>6F236901NT</v>
          </cell>
        </row>
        <row r="169">
          <cell r="U169">
            <v>300</v>
          </cell>
        </row>
        <row r="170">
          <cell r="H170" t="str">
            <v>6F238701PN</v>
          </cell>
        </row>
        <row r="170">
          <cell r="U170">
            <v>420</v>
          </cell>
        </row>
        <row r="171">
          <cell r="H171" t="str">
            <v>6F239001PN</v>
          </cell>
        </row>
        <row r="171">
          <cell r="U171">
            <v>2800</v>
          </cell>
        </row>
        <row r="172">
          <cell r="H172" t="str">
            <v>6F248901PN</v>
          </cell>
        </row>
        <row r="172">
          <cell r="U172">
            <v>2520</v>
          </cell>
        </row>
        <row r="173">
          <cell r="H173" t="str">
            <v>6F248901PN</v>
          </cell>
        </row>
        <row r="173">
          <cell r="U173">
            <v>4060</v>
          </cell>
        </row>
        <row r="174">
          <cell r="H174" t="str">
            <v>6F248901PN</v>
          </cell>
        </row>
        <row r="174">
          <cell r="U174">
            <v>1000</v>
          </cell>
        </row>
        <row r="175">
          <cell r="H175" t="str">
            <v>6F248901PN</v>
          </cell>
        </row>
        <row r="175">
          <cell r="U175">
            <v>1106</v>
          </cell>
        </row>
        <row r="176">
          <cell r="H176" t="str">
            <v>6F248901PN</v>
          </cell>
        </row>
        <row r="176">
          <cell r="U176">
            <v>1106</v>
          </cell>
        </row>
        <row r="177">
          <cell r="H177" t="str">
            <v>6F251101PN</v>
          </cell>
        </row>
        <row r="177">
          <cell r="U177">
            <v>862</v>
          </cell>
        </row>
        <row r="178">
          <cell r="H178" t="str">
            <v>6F251201PN</v>
          </cell>
        </row>
        <row r="178">
          <cell r="U178">
            <v>3934</v>
          </cell>
        </row>
        <row r="179">
          <cell r="H179" t="str">
            <v>6F251201PN</v>
          </cell>
        </row>
        <row r="179">
          <cell r="U179">
            <v>13758</v>
          </cell>
        </row>
        <row r="180">
          <cell r="H180" t="str">
            <v>6F263001CP</v>
          </cell>
        </row>
        <row r="180">
          <cell r="U180">
            <v>226</v>
          </cell>
        </row>
        <row r="181">
          <cell r="H181" t="str">
            <v>6F267001PN</v>
          </cell>
        </row>
        <row r="181">
          <cell r="U181">
            <v>7020</v>
          </cell>
        </row>
        <row r="182">
          <cell r="H182" t="str">
            <v>6F267001PN</v>
          </cell>
        </row>
        <row r="182">
          <cell r="U182">
            <v>10000</v>
          </cell>
        </row>
        <row r="183">
          <cell r="H183" t="str">
            <v>6F267001PN</v>
          </cell>
        </row>
        <row r="183">
          <cell r="U183">
            <v>5000</v>
          </cell>
        </row>
        <row r="184">
          <cell r="H184" t="str">
            <v>6F267001PN</v>
          </cell>
        </row>
        <row r="184">
          <cell r="U184">
            <v>6000</v>
          </cell>
        </row>
        <row r="185">
          <cell r="H185" t="str">
            <v>6F267001PN</v>
          </cell>
        </row>
        <row r="185">
          <cell r="U185">
            <v>6000</v>
          </cell>
        </row>
        <row r="186">
          <cell r="H186" t="str">
            <v>6F267001PN</v>
          </cell>
        </row>
        <row r="186">
          <cell r="U186">
            <v>6000</v>
          </cell>
        </row>
        <row r="187">
          <cell r="H187" t="str">
            <v>6F267001PN</v>
          </cell>
        </row>
        <row r="187">
          <cell r="U187">
            <v>5000</v>
          </cell>
        </row>
        <row r="188">
          <cell r="H188" t="str">
            <v>6F267001PN</v>
          </cell>
        </row>
        <row r="188">
          <cell r="U188">
            <v>10000</v>
          </cell>
        </row>
        <row r="189">
          <cell r="H189" t="str">
            <v>6F270801NT</v>
          </cell>
        </row>
        <row r="189">
          <cell r="U189">
            <v>3000</v>
          </cell>
        </row>
        <row r="190">
          <cell r="H190" t="str">
            <v>6F270801NT</v>
          </cell>
        </row>
        <row r="190">
          <cell r="U190">
            <v>3000</v>
          </cell>
        </row>
        <row r="191">
          <cell r="H191" t="str">
            <v>6F270801NT</v>
          </cell>
        </row>
        <row r="191">
          <cell r="U191">
            <v>3000</v>
          </cell>
        </row>
        <row r="192">
          <cell r="H192" t="str">
            <v>6F270801NT</v>
          </cell>
        </row>
        <row r="192">
          <cell r="U192">
            <v>3000</v>
          </cell>
        </row>
        <row r="193">
          <cell r="H193" t="str">
            <v>6F270801NT</v>
          </cell>
        </row>
        <row r="193">
          <cell r="U193">
            <v>3000</v>
          </cell>
        </row>
        <row r="194">
          <cell r="H194" t="str">
            <v>6F270801NT</v>
          </cell>
        </row>
        <row r="194">
          <cell r="U194">
            <v>3000</v>
          </cell>
        </row>
        <row r="195">
          <cell r="H195" t="str">
            <v>6F270801NT</v>
          </cell>
        </row>
        <row r="195">
          <cell r="U195">
            <v>4100</v>
          </cell>
        </row>
        <row r="196">
          <cell r="H196" t="str">
            <v>6F270801NT</v>
          </cell>
        </row>
        <row r="196">
          <cell r="U196">
            <v>300</v>
          </cell>
        </row>
        <row r="197">
          <cell r="H197" t="str">
            <v>6F271801NT</v>
          </cell>
        </row>
        <row r="197">
          <cell r="U197">
            <v>1300</v>
          </cell>
        </row>
        <row r="198">
          <cell r="H198" t="str">
            <v>6F273701NT</v>
          </cell>
        </row>
        <row r="198">
          <cell r="U198">
            <v>3000</v>
          </cell>
        </row>
        <row r="199">
          <cell r="H199" t="str">
            <v>6F273701NT</v>
          </cell>
        </row>
        <row r="199">
          <cell r="U199">
            <v>1000</v>
          </cell>
        </row>
        <row r="200">
          <cell r="H200" t="str">
            <v>6F273701NT</v>
          </cell>
        </row>
        <row r="200">
          <cell r="U200">
            <v>1000</v>
          </cell>
        </row>
        <row r="201">
          <cell r="H201" t="str">
            <v>6F273701NT</v>
          </cell>
        </row>
        <row r="201">
          <cell r="U201">
            <v>2100</v>
          </cell>
        </row>
        <row r="202">
          <cell r="H202" t="str">
            <v>6F273901PN</v>
          </cell>
        </row>
        <row r="202">
          <cell r="U202">
            <v>677</v>
          </cell>
        </row>
        <row r="203">
          <cell r="H203" t="str">
            <v>6F277501PN</v>
          </cell>
        </row>
        <row r="203">
          <cell r="U203">
            <v>1948</v>
          </cell>
        </row>
        <row r="204">
          <cell r="H204" t="str">
            <v>6F278001PN</v>
          </cell>
        </row>
        <row r="204">
          <cell r="U204">
            <v>3778</v>
          </cell>
        </row>
        <row r="205">
          <cell r="H205" t="str">
            <v>6F279901NT</v>
          </cell>
        </row>
        <row r="205">
          <cell r="U205">
            <v>7500</v>
          </cell>
        </row>
        <row r="206">
          <cell r="H206" t="str">
            <v>6F279901NT</v>
          </cell>
        </row>
        <row r="206">
          <cell r="U206">
            <v>7500</v>
          </cell>
        </row>
        <row r="207">
          <cell r="H207" t="str">
            <v>6F279901NT</v>
          </cell>
        </row>
        <row r="207">
          <cell r="U207">
            <v>8500</v>
          </cell>
        </row>
        <row r="208">
          <cell r="H208" t="str">
            <v>6F280001NT</v>
          </cell>
        </row>
        <row r="208">
          <cell r="U208">
            <v>1700</v>
          </cell>
        </row>
        <row r="209">
          <cell r="H209" t="str">
            <v>6F280101NT</v>
          </cell>
        </row>
        <row r="209">
          <cell r="U209">
            <v>1100</v>
          </cell>
        </row>
        <row r="210">
          <cell r="H210" t="str">
            <v>6F286601NT</v>
          </cell>
        </row>
        <row r="210">
          <cell r="U210">
            <v>2100</v>
          </cell>
        </row>
        <row r="211">
          <cell r="H211" t="str">
            <v>6F932701PN</v>
          </cell>
        </row>
        <row r="211">
          <cell r="U211">
            <v>600</v>
          </cell>
        </row>
        <row r="212">
          <cell r="H212" t="str">
            <v>6F932701PN</v>
          </cell>
        </row>
        <row r="212">
          <cell r="U212">
            <v>500</v>
          </cell>
        </row>
        <row r="213">
          <cell r="H213" t="str">
            <v>59011402CP</v>
          </cell>
        </row>
        <row r="213">
          <cell r="U213">
            <v>326</v>
          </cell>
        </row>
        <row r="214">
          <cell r="H214" t="str">
            <v>59011402CP</v>
          </cell>
        </row>
        <row r="214">
          <cell r="U214">
            <v>20</v>
          </cell>
        </row>
        <row r="215">
          <cell r="H215" t="str">
            <v>59011402CP</v>
          </cell>
        </row>
        <row r="215">
          <cell r="U215">
            <v>17</v>
          </cell>
        </row>
        <row r="216">
          <cell r="H216" t="str">
            <v>59011402CP</v>
          </cell>
        </row>
        <row r="216">
          <cell r="U216">
            <v>56</v>
          </cell>
        </row>
        <row r="217">
          <cell r="H217" t="str">
            <v>5A0010700CP0</v>
          </cell>
        </row>
        <row r="217">
          <cell r="U217">
            <v>20</v>
          </cell>
        </row>
        <row r="218">
          <cell r="H218" t="str">
            <v>5C0006000CP0A0</v>
          </cell>
        </row>
        <row r="218">
          <cell r="U218">
            <v>400</v>
          </cell>
        </row>
        <row r="219">
          <cell r="H219" t="str">
            <v>5C0006000CP0A0</v>
          </cell>
        </row>
        <row r="219">
          <cell r="U219">
            <v>8</v>
          </cell>
        </row>
        <row r="220">
          <cell r="H220" t="str">
            <v>5C0006000CP0A0</v>
          </cell>
        </row>
        <row r="220">
          <cell r="U220">
            <v>13</v>
          </cell>
        </row>
        <row r="221">
          <cell r="H221" t="str">
            <v>5C0006000CP0A0</v>
          </cell>
        </row>
        <row r="221">
          <cell r="U221">
            <v>504</v>
          </cell>
        </row>
        <row r="222">
          <cell r="H222" t="str">
            <v>5C0006000CP0A0</v>
          </cell>
        </row>
        <row r="222">
          <cell r="U222">
            <v>500</v>
          </cell>
        </row>
        <row r="223">
          <cell r="H223" t="str">
            <v>5C0006000CP0A0</v>
          </cell>
        </row>
        <row r="223">
          <cell r="U223">
            <v>12</v>
          </cell>
        </row>
        <row r="224">
          <cell r="H224" t="str">
            <v>5C0008000CP0</v>
          </cell>
        </row>
        <row r="224">
          <cell r="U224">
            <v>20</v>
          </cell>
        </row>
        <row r="225">
          <cell r="H225" t="str">
            <v>5C0008500CP0A0</v>
          </cell>
        </row>
        <row r="225">
          <cell r="U225">
            <v>301</v>
          </cell>
        </row>
        <row r="226">
          <cell r="H226" t="str">
            <v>5C0008500CP0A0</v>
          </cell>
        </row>
        <row r="226">
          <cell r="U226">
            <v>739</v>
          </cell>
        </row>
        <row r="227">
          <cell r="H227" t="str">
            <v>5C0008500CP0A0</v>
          </cell>
        </row>
        <row r="227">
          <cell r="U227">
            <v>280</v>
          </cell>
        </row>
        <row r="228">
          <cell r="H228" t="str">
            <v>5C0008500CP0A0</v>
          </cell>
        </row>
        <row r="228">
          <cell r="U228">
            <v>750</v>
          </cell>
        </row>
        <row r="229">
          <cell r="H229" t="str">
            <v>5C0008500CP0A0</v>
          </cell>
        </row>
        <row r="229">
          <cell r="U229">
            <v>738</v>
          </cell>
        </row>
        <row r="230">
          <cell r="H230" t="str">
            <v>5C0008500CP0A0</v>
          </cell>
        </row>
        <row r="230">
          <cell r="U230">
            <v>204</v>
          </cell>
        </row>
        <row r="231">
          <cell r="H231" t="str">
            <v>5C0008500CP0A0</v>
          </cell>
        </row>
        <row r="231">
          <cell r="U231">
            <v>388</v>
          </cell>
        </row>
        <row r="232">
          <cell r="H232" t="str">
            <v>5C0008500CP0A0</v>
          </cell>
        </row>
        <row r="232">
          <cell r="U232">
            <v>405</v>
          </cell>
        </row>
        <row r="233">
          <cell r="H233" t="str">
            <v>5C0008500CP0A0</v>
          </cell>
        </row>
        <row r="233">
          <cell r="U233">
            <v>1072</v>
          </cell>
        </row>
        <row r="234">
          <cell r="H234" t="str">
            <v>5C0008500CP0A0</v>
          </cell>
        </row>
        <row r="234">
          <cell r="U234">
            <v>750</v>
          </cell>
        </row>
        <row r="235">
          <cell r="H235" t="str">
            <v>5C0008500CP0A1</v>
          </cell>
        </row>
        <row r="235">
          <cell r="U235">
            <v>241</v>
          </cell>
        </row>
        <row r="236">
          <cell r="H236" t="str">
            <v>5C0008500CP0A1</v>
          </cell>
        </row>
        <row r="236">
          <cell r="U236">
            <v>203</v>
          </cell>
        </row>
        <row r="237">
          <cell r="H237" t="str">
            <v>5C0008500CP0A1</v>
          </cell>
        </row>
        <row r="237">
          <cell r="U237">
            <v>294</v>
          </cell>
        </row>
        <row r="238">
          <cell r="H238" t="str">
            <v>5C0008500CP0A1</v>
          </cell>
        </row>
        <row r="238">
          <cell r="U238">
            <v>306</v>
          </cell>
        </row>
        <row r="239">
          <cell r="H239" t="str">
            <v>5C0008500CP0A1</v>
          </cell>
        </row>
        <row r="239">
          <cell r="U239">
            <v>20</v>
          </cell>
        </row>
        <row r="240">
          <cell r="H240" t="str">
            <v>5C0056400PN0</v>
          </cell>
        </row>
        <row r="240">
          <cell r="U240">
            <v>300</v>
          </cell>
        </row>
        <row r="241">
          <cell r="H241" t="str">
            <v>5C0056400PN0</v>
          </cell>
        </row>
        <row r="241">
          <cell r="U241">
            <v>400</v>
          </cell>
        </row>
        <row r="242">
          <cell r="H242" t="str">
            <v>5C0062500CP0A1</v>
          </cell>
        </row>
        <row r="242">
          <cell r="U242">
            <v>3435</v>
          </cell>
        </row>
        <row r="243">
          <cell r="H243" t="str">
            <v>5C0062500CP0A4</v>
          </cell>
        </row>
        <row r="243">
          <cell r="U243">
            <v>3179</v>
          </cell>
        </row>
        <row r="244">
          <cell r="H244" t="str">
            <v>5C0062500CP0A4</v>
          </cell>
        </row>
        <row r="244">
          <cell r="U244">
            <v>816</v>
          </cell>
        </row>
        <row r="245">
          <cell r="H245" t="str">
            <v>5C0062500CP0A4</v>
          </cell>
        </row>
        <row r="245">
          <cell r="U245">
            <v>95</v>
          </cell>
        </row>
        <row r="246">
          <cell r="H246" t="str">
            <v>5C0062500CP0A4</v>
          </cell>
        </row>
        <row r="246">
          <cell r="U246">
            <v>94</v>
          </cell>
        </row>
        <row r="247">
          <cell r="H247" t="str">
            <v>5C0062500CP0A4</v>
          </cell>
        </row>
        <row r="247">
          <cell r="U247">
            <v>1103</v>
          </cell>
        </row>
        <row r="248">
          <cell r="H248" t="str">
            <v>5C0073400PN0</v>
          </cell>
        </row>
        <row r="248">
          <cell r="U248">
            <v>3206</v>
          </cell>
        </row>
        <row r="249">
          <cell r="H249" t="str">
            <v>5C0077400CP0A2</v>
          </cell>
        </row>
        <row r="249">
          <cell r="U249">
            <v>90</v>
          </cell>
        </row>
        <row r="250">
          <cell r="H250" t="str">
            <v>5C0077400CP0A2</v>
          </cell>
        </row>
        <row r="250">
          <cell r="U250">
            <v>792</v>
          </cell>
        </row>
        <row r="251">
          <cell r="H251" t="str">
            <v>5C0077400CP0A2</v>
          </cell>
        </row>
        <row r="251">
          <cell r="U251">
            <v>1982</v>
          </cell>
        </row>
        <row r="252">
          <cell r="H252" t="str">
            <v>5C0077400CP0A2</v>
          </cell>
        </row>
        <row r="252">
          <cell r="U252">
            <v>147</v>
          </cell>
        </row>
        <row r="253">
          <cell r="H253" t="str">
            <v>5C0077400CP0A2</v>
          </cell>
        </row>
        <row r="253">
          <cell r="U253">
            <v>1651</v>
          </cell>
        </row>
        <row r="254">
          <cell r="H254" t="str">
            <v>5C0077400CP0A2</v>
          </cell>
        </row>
        <row r="254">
          <cell r="U254">
            <v>635</v>
          </cell>
        </row>
        <row r="255">
          <cell r="H255" t="str">
            <v>5C0077400CP0A2</v>
          </cell>
        </row>
        <row r="255">
          <cell r="U255">
            <v>635</v>
          </cell>
        </row>
        <row r="256">
          <cell r="H256" t="str">
            <v>5C0077400CP0A2</v>
          </cell>
        </row>
        <row r="256">
          <cell r="U256">
            <v>1</v>
          </cell>
        </row>
        <row r="257">
          <cell r="H257" t="str">
            <v>5C0077400CP0A2</v>
          </cell>
        </row>
        <row r="257">
          <cell r="U257">
            <v>641</v>
          </cell>
        </row>
        <row r="258">
          <cell r="H258" t="str">
            <v>5C0077400CP0A2</v>
          </cell>
        </row>
        <row r="258">
          <cell r="U258">
            <v>100</v>
          </cell>
        </row>
        <row r="259">
          <cell r="H259" t="str">
            <v>5C0077400CP0A2</v>
          </cell>
        </row>
        <row r="259">
          <cell r="U259">
            <v>1042</v>
          </cell>
        </row>
        <row r="260">
          <cell r="H260" t="str">
            <v>5C0077400CP0A2</v>
          </cell>
        </row>
        <row r="260">
          <cell r="U260">
            <v>116</v>
          </cell>
        </row>
        <row r="261">
          <cell r="H261" t="str">
            <v>5C0079500CP0</v>
          </cell>
        </row>
        <row r="261">
          <cell r="U261">
            <v>21</v>
          </cell>
        </row>
        <row r="262">
          <cell r="H262" t="str">
            <v>5C0080500PN0</v>
          </cell>
        </row>
        <row r="262">
          <cell r="U262">
            <v>16</v>
          </cell>
        </row>
        <row r="263">
          <cell r="H263" t="str">
            <v>5C0081300PN0</v>
          </cell>
        </row>
        <row r="263">
          <cell r="U263">
            <v>6528</v>
          </cell>
        </row>
        <row r="264">
          <cell r="H264" t="str">
            <v>5C0092000CP0A0</v>
          </cell>
        </row>
        <row r="264">
          <cell r="U264">
            <v>463</v>
          </cell>
        </row>
        <row r="265">
          <cell r="H265" t="str">
            <v>5C0092000CP0A0</v>
          </cell>
        </row>
        <row r="265">
          <cell r="U265">
            <v>244</v>
          </cell>
        </row>
        <row r="266">
          <cell r="H266" t="str">
            <v>5C0092000CP0A0</v>
          </cell>
        </row>
        <row r="266">
          <cell r="U266">
            <v>567</v>
          </cell>
        </row>
        <row r="267">
          <cell r="H267" t="str">
            <v>5C0092000CP0A0</v>
          </cell>
        </row>
        <row r="267">
          <cell r="U267">
            <v>146</v>
          </cell>
        </row>
        <row r="268">
          <cell r="H268" t="str">
            <v>5C0092000CP0A0</v>
          </cell>
        </row>
        <row r="268">
          <cell r="U268">
            <v>61</v>
          </cell>
        </row>
        <row r="269">
          <cell r="H269" t="str">
            <v>5C0092000CP0A0</v>
          </cell>
        </row>
        <row r="269">
          <cell r="U269">
            <v>750</v>
          </cell>
        </row>
        <row r="270">
          <cell r="H270" t="str">
            <v>5C0092000CP0A0</v>
          </cell>
        </row>
        <row r="270">
          <cell r="U270">
            <v>1548</v>
          </cell>
        </row>
        <row r="271">
          <cell r="H271" t="str">
            <v>5C0092000CP0A0</v>
          </cell>
        </row>
        <row r="271">
          <cell r="U271">
            <v>53</v>
          </cell>
        </row>
        <row r="272">
          <cell r="H272" t="str">
            <v>5C0092000CP0A0</v>
          </cell>
        </row>
        <row r="272">
          <cell r="U272">
            <v>215</v>
          </cell>
        </row>
        <row r="273">
          <cell r="H273" t="str">
            <v>5C0092000CP0A0</v>
          </cell>
        </row>
        <row r="273">
          <cell r="U273">
            <v>159</v>
          </cell>
        </row>
        <row r="274">
          <cell r="H274" t="str">
            <v>5C0092000CP0A0</v>
          </cell>
        </row>
        <row r="274">
          <cell r="U274">
            <v>1535</v>
          </cell>
        </row>
        <row r="275">
          <cell r="H275" t="str">
            <v>5C0094900CP0</v>
          </cell>
        </row>
        <row r="275">
          <cell r="U275">
            <v>20</v>
          </cell>
        </row>
        <row r="276">
          <cell r="H276" t="str">
            <v>5C0095900CP0</v>
          </cell>
        </row>
        <row r="276">
          <cell r="U276">
            <v>96</v>
          </cell>
        </row>
        <row r="277">
          <cell r="H277" t="str">
            <v>5C0099300CP0</v>
          </cell>
        </row>
        <row r="277">
          <cell r="U277">
            <v>20</v>
          </cell>
        </row>
        <row r="278">
          <cell r="H278" t="str">
            <v>5C0Z0125CP</v>
          </cell>
        </row>
        <row r="278">
          <cell r="U278">
            <v>100</v>
          </cell>
        </row>
        <row r="279">
          <cell r="H279" t="str">
            <v>5C0Z0125CP</v>
          </cell>
        </row>
        <row r="279">
          <cell r="U279">
            <v>2600</v>
          </cell>
        </row>
        <row r="280">
          <cell r="H280" t="str">
            <v>5C0Z0125CP</v>
          </cell>
        </row>
        <row r="280">
          <cell r="U280">
            <v>3500</v>
          </cell>
        </row>
        <row r="281">
          <cell r="H281" t="str">
            <v>5C0Z0125CP</v>
          </cell>
        </row>
        <row r="281">
          <cell r="U281">
            <v>2500</v>
          </cell>
        </row>
        <row r="282">
          <cell r="H282" t="str">
            <v>5C0Z0311CP</v>
          </cell>
        </row>
        <row r="282">
          <cell r="U282">
            <v>864</v>
          </cell>
        </row>
        <row r="283">
          <cell r="H283" t="str">
            <v>5C0Z0311CP</v>
          </cell>
        </row>
        <row r="283">
          <cell r="U283">
            <v>41</v>
          </cell>
        </row>
        <row r="284">
          <cell r="H284" t="str">
            <v>5C0Z0311CP</v>
          </cell>
        </row>
        <row r="284">
          <cell r="U284">
            <v>1307</v>
          </cell>
        </row>
        <row r="285">
          <cell r="H285" t="str">
            <v>5C0Z0311CP</v>
          </cell>
        </row>
        <row r="285">
          <cell r="U285">
            <v>2364</v>
          </cell>
        </row>
        <row r="286">
          <cell r="H286" t="str">
            <v>5C0Z0311CP</v>
          </cell>
        </row>
        <row r="286">
          <cell r="U286">
            <v>626</v>
          </cell>
        </row>
        <row r="287">
          <cell r="H287" t="str">
            <v>5C0Z0311CP</v>
          </cell>
        </row>
        <row r="287">
          <cell r="U287">
            <v>281</v>
          </cell>
        </row>
        <row r="288">
          <cell r="H288" t="str">
            <v>5C0Z0311CP</v>
          </cell>
        </row>
        <row r="288">
          <cell r="U288">
            <v>740</v>
          </cell>
        </row>
        <row r="289">
          <cell r="H289" t="str">
            <v>5C0Z0327CP</v>
          </cell>
        </row>
        <row r="289">
          <cell r="U289">
            <v>10000</v>
          </cell>
        </row>
        <row r="290">
          <cell r="H290" t="str">
            <v>5C0Z0327CP</v>
          </cell>
        </row>
        <row r="290">
          <cell r="U290">
            <v>10000</v>
          </cell>
        </row>
        <row r="291">
          <cell r="H291" t="str">
            <v>5C0Z0327CP</v>
          </cell>
        </row>
        <row r="291">
          <cell r="U291">
            <v>10000</v>
          </cell>
        </row>
        <row r="292">
          <cell r="H292" t="str">
            <v>5C0Z0327CP</v>
          </cell>
        </row>
        <row r="292">
          <cell r="U292">
            <v>10000</v>
          </cell>
        </row>
        <row r="293">
          <cell r="H293" t="str">
            <v>5C0Z0327CP</v>
          </cell>
        </row>
        <row r="293">
          <cell r="U293">
            <v>10</v>
          </cell>
        </row>
        <row r="294">
          <cell r="H294" t="str">
            <v>5C0Z0411CP</v>
          </cell>
        </row>
        <row r="294">
          <cell r="U294">
            <v>20</v>
          </cell>
        </row>
        <row r="295">
          <cell r="H295" t="str">
            <v>5C0Z0411CP</v>
          </cell>
        </row>
        <row r="295">
          <cell r="U295">
            <v>89</v>
          </cell>
        </row>
        <row r="296">
          <cell r="H296" t="str">
            <v>5C0Z0411CP</v>
          </cell>
        </row>
        <row r="296">
          <cell r="U296">
            <v>1497</v>
          </cell>
        </row>
        <row r="297">
          <cell r="H297" t="str">
            <v>5C0Z0411CP</v>
          </cell>
        </row>
        <row r="297">
          <cell r="U297">
            <v>1000</v>
          </cell>
        </row>
        <row r="298">
          <cell r="H298" t="str">
            <v>5C0Z0411CP</v>
          </cell>
        </row>
        <row r="298">
          <cell r="U298">
            <v>42</v>
          </cell>
        </row>
        <row r="299">
          <cell r="H299" t="str">
            <v>5C0Z0411CP</v>
          </cell>
        </row>
        <row r="299">
          <cell r="U299">
            <v>552</v>
          </cell>
        </row>
        <row r="300">
          <cell r="H300" t="str">
            <v>5C0Z0444CP</v>
          </cell>
        </row>
        <row r="300">
          <cell r="U300">
            <v>22</v>
          </cell>
        </row>
        <row r="301">
          <cell r="H301" t="str">
            <v>5D0M0228CP</v>
          </cell>
        </row>
        <row r="301">
          <cell r="U301">
            <v>10</v>
          </cell>
        </row>
        <row r="302">
          <cell r="H302" t="str">
            <v>5D0M0228CP</v>
          </cell>
        </row>
        <row r="302">
          <cell r="U302">
            <v>1673</v>
          </cell>
        </row>
        <row r="303">
          <cell r="H303" t="str">
            <v>5L0Z0027CP</v>
          </cell>
        </row>
        <row r="303">
          <cell r="U303">
            <v>100</v>
          </cell>
        </row>
        <row r="304">
          <cell r="H304" t="str">
            <v>5L0Z0027CP</v>
          </cell>
        </row>
        <row r="304">
          <cell r="U304">
            <v>2200</v>
          </cell>
        </row>
        <row r="305">
          <cell r="H305" t="str">
            <v>5L0Z0027CP</v>
          </cell>
        </row>
        <row r="305">
          <cell r="U305">
            <v>637</v>
          </cell>
        </row>
        <row r="306">
          <cell r="H306" t="str">
            <v>5M0014500CZ0</v>
          </cell>
        </row>
        <row r="306">
          <cell r="U306">
            <v>1800</v>
          </cell>
        </row>
        <row r="307">
          <cell r="H307" t="str">
            <v>5MD0M0021PL</v>
          </cell>
        </row>
        <row r="307">
          <cell r="U307">
            <v>100</v>
          </cell>
        </row>
        <row r="308">
          <cell r="H308" t="str">
            <v>5MD0M0021PL</v>
          </cell>
        </row>
        <row r="308">
          <cell r="U308">
            <v>20</v>
          </cell>
        </row>
        <row r="309">
          <cell r="H309" t="str">
            <v>5MD0M0021PL</v>
          </cell>
        </row>
        <row r="309">
          <cell r="U309">
            <v>60</v>
          </cell>
        </row>
        <row r="310">
          <cell r="H310" t="str">
            <v>5MD0M0021PL</v>
          </cell>
        </row>
        <row r="310">
          <cell r="U310">
            <v>50</v>
          </cell>
        </row>
        <row r="311">
          <cell r="H311" t="str">
            <v>5MD0M0021PL</v>
          </cell>
        </row>
        <row r="311">
          <cell r="U311">
            <v>20</v>
          </cell>
        </row>
        <row r="312">
          <cell r="H312" t="str">
            <v>5N0057300CP0</v>
          </cell>
        </row>
        <row r="312">
          <cell r="U312">
            <v>504</v>
          </cell>
        </row>
        <row r="313">
          <cell r="H313" t="str">
            <v>5N0057300CP0</v>
          </cell>
        </row>
        <row r="313">
          <cell r="U313">
            <v>651</v>
          </cell>
        </row>
        <row r="314">
          <cell r="H314" t="str">
            <v>5N0062100PN0</v>
          </cell>
        </row>
        <row r="314">
          <cell r="U314">
            <v>574</v>
          </cell>
        </row>
        <row r="315">
          <cell r="H315" t="str">
            <v>5N0062100PN0</v>
          </cell>
        </row>
        <row r="315">
          <cell r="U315">
            <v>440</v>
          </cell>
        </row>
        <row r="316">
          <cell r="H316" t="str">
            <v>5N0062100PN0</v>
          </cell>
        </row>
        <row r="316">
          <cell r="U316">
            <v>600</v>
          </cell>
        </row>
        <row r="317">
          <cell r="H317" t="str">
            <v>5N0089500CP0</v>
          </cell>
        </row>
        <row r="317">
          <cell r="U317">
            <v>20</v>
          </cell>
        </row>
        <row r="318">
          <cell r="H318" t="str">
            <v>5N0Z0020PN</v>
          </cell>
        </row>
        <row r="318">
          <cell r="U318">
            <v>2980</v>
          </cell>
        </row>
        <row r="319">
          <cell r="H319" t="str">
            <v>5N0Z0020PN</v>
          </cell>
        </row>
        <row r="319">
          <cell r="U319">
            <v>1900</v>
          </cell>
        </row>
        <row r="320">
          <cell r="H320" t="str">
            <v>6F116501PN</v>
          </cell>
        </row>
        <row r="320">
          <cell r="U320">
            <v>1100</v>
          </cell>
        </row>
        <row r="321">
          <cell r="H321" t="str">
            <v>6F116501PN</v>
          </cell>
        </row>
        <row r="321">
          <cell r="U321">
            <v>400</v>
          </cell>
        </row>
        <row r="322">
          <cell r="H322" t="str">
            <v>6F116501PN</v>
          </cell>
        </row>
        <row r="322">
          <cell r="U322">
            <v>1600</v>
          </cell>
        </row>
        <row r="323">
          <cell r="H323" t="str">
            <v>6F116501PN</v>
          </cell>
        </row>
        <row r="323">
          <cell r="U323">
            <v>1600</v>
          </cell>
        </row>
        <row r="324">
          <cell r="H324" t="str">
            <v>6F116501PN</v>
          </cell>
        </row>
        <row r="324">
          <cell r="U324">
            <v>1600</v>
          </cell>
        </row>
        <row r="325">
          <cell r="H325" t="str">
            <v>6F150801PN</v>
          </cell>
        </row>
        <row r="325">
          <cell r="U325">
            <v>2000</v>
          </cell>
        </row>
        <row r="326">
          <cell r="H326" t="str">
            <v>6F150801PN</v>
          </cell>
        </row>
        <row r="326">
          <cell r="U326">
            <v>1700</v>
          </cell>
        </row>
        <row r="327">
          <cell r="H327" t="str">
            <v>6F151101PN</v>
          </cell>
        </row>
        <row r="327">
          <cell r="U327">
            <v>3542</v>
          </cell>
        </row>
        <row r="328">
          <cell r="H328" t="str">
            <v>6F151101PN</v>
          </cell>
        </row>
        <row r="328">
          <cell r="U328">
            <v>1700</v>
          </cell>
        </row>
        <row r="329">
          <cell r="H329" t="str">
            <v>6F151101PN</v>
          </cell>
        </row>
        <row r="329">
          <cell r="U329">
            <v>3700</v>
          </cell>
        </row>
        <row r="330">
          <cell r="H330" t="str">
            <v>6F160501PN</v>
          </cell>
        </row>
        <row r="330">
          <cell r="U330">
            <v>2407</v>
          </cell>
        </row>
        <row r="331">
          <cell r="H331" t="str">
            <v>6F160501PN</v>
          </cell>
        </row>
        <row r="331">
          <cell r="U331">
            <v>17269</v>
          </cell>
        </row>
        <row r="332">
          <cell r="H332" t="str">
            <v>6F166601PN</v>
          </cell>
        </row>
        <row r="332">
          <cell r="U332">
            <v>2135</v>
          </cell>
        </row>
        <row r="333">
          <cell r="H333" t="str">
            <v>6F166601PN</v>
          </cell>
        </row>
        <row r="333">
          <cell r="U333">
            <v>3805</v>
          </cell>
        </row>
        <row r="334">
          <cell r="H334" t="str">
            <v>6F166601PN</v>
          </cell>
        </row>
        <row r="334">
          <cell r="U334">
            <v>9100</v>
          </cell>
        </row>
        <row r="335">
          <cell r="H335" t="str">
            <v>6F166601PN</v>
          </cell>
        </row>
        <row r="335">
          <cell r="U335">
            <v>3000</v>
          </cell>
        </row>
        <row r="336">
          <cell r="H336" t="str">
            <v>6F207401PN</v>
          </cell>
        </row>
        <row r="336">
          <cell r="U336">
            <v>3000</v>
          </cell>
        </row>
        <row r="337">
          <cell r="H337" t="str">
            <v>6F207401PN</v>
          </cell>
        </row>
        <row r="337">
          <cell r="U337">
            <v>3000</v>
          </cell>
        </row>
        <row r="338">
          <cell r="H338" t="str">
            <v>6F207401PN</v>
          </cell>
        </row>
        <row r="338">
          <cell r="U338">
            <v>3000</v>
          </cell>
        </row>
        <row r="339">
          <cell r="H339" t="str">
            <v>6F207401PN</v>
          </cell>
        </row>
        <row r="339">
          <cell r="U339">
            <v>3000</v>
          </cell>
        </row>
        <row r="340">
          <cell r="H340" t="str">
            <v>6F207401PN</v>
          </cell>
        </row>
        <row r="340">
          <cell r="U340">
            <v>3000</v>
          </cell>
        </row>
        <row r="341">
          <cell r="H341" t="str">
            <v>6F207401PN</v>
          </cell>
        </row>
        <row r="341">
          <cell r="U341">
            <v>3000</v>
          </cell>
        </row>
        <row r="342">
          <cell r="H342" t="str">
            <v>6F207401PN</v>
          </cell>
        </row>
        <row r="342">
          <cell r="U342">
            <v>3000</v>
          </cell>
        </row>
        <row r="343">
          <cell r="H343" t="str">
            <v>6F207401PN</v>
          </cell>
        </row>
        <row r="343">
          <cell r="U343">
            <v>3000</v>
          </cell>
        </row>
        <row r="344">
          <cell r="H344" t="str">
            <v>6F207401PN</v>
          </cell>
        </row>
        <row r="344">
          <cell r="U344">
            <v>3000</v>
          </cell>
        </row>
        <row r="345">
          <cell r="H345" t="str">
            <v>6F207401PN</v>
          </cell>
        </row>
        <row r="345">
          <cell r="U345">
            <v>3000</v>
          </cell>
        </row>
        <row r="346">
          <cell r="H346" t="str">
            <v>6F207401PN</v>
          </cell>
        </row>
        <row r="346">
          <cell r="U346">
            <v>3000</v>
          </cell>
        </row>
        <row r="347">
          <cell r="H347" t="str">
            <v>6F207401PN</v>
          </cell>
        </row>
        <row r="347">
          <cell r="U347">
            <v>3000</v>
          </cell>
        </row>
        <row r="348">
          <cell r="H348" t="str">
            <v>6F208201PN</v>
          </cell>
        </row>
        <row r="348">
          <cell r="U348">
            <v>2000</v>
          </cell>
        </row>
        <row r="349">
          <cell r="H349" t="str">
            <v>6F208201PN</v>
          </cell>
        </row>
        <row r="349">
          <cell r="U349">
            <v>3800</v>
          </cell>
        </row>
        <row r="350">
          <cell r="H350" t="str">
            <v>6F208201PN</v>
          </cell>
        </row>
        <row r="350">
          <cell r="U350">
            <v>800</v>
          </cell>
        </row>
        <row r="351">
          <cell r="H351" t="str">
            <v>6F208501PN</v>
          </cell>
        </row>
        <row r="351">
          <cell r="U351">
            <v>1200</v>
          </cell>
        </row>
        <row r="352">
          <cell r="H352" t="str">
            <v>6F208501PN</v>
          </cell>
        </row>
        <row r="352">
          <cell r="U352">
            <v>1200</v>
          </cell>
        </row>
        <row r="353">
          <cell r="H353" t="str">
            <v>6F208501PN</v>
          </cell>
        </row>
        <row r="353">
          <cell r="U353">
            <v>1200</v>
          </cell>
        </row>
        <row r="354">
          <cell r="H354" t="str">
            <v>6F208501PN</v>
          </cell>
        </row>
        <row r="354">
          <cell r="U354">
            <v>1200</v>
          </cell>
        </row>
        <row r="355">
          <cell r="H355" t="str">
            <v>6F217701PN</v>
          </cell>
        </row>
        <row r="355">
          <cell r="U355">
            <v>472</v>
          </cell>
        </row>
        <row r="356">
          <cell r="H356" t="str">
            <v>6F217701PN</v>
          </cell>
        </row>
        <row r="356">
          <cell r="U356">
            <v>6060</v>
          </cell>
        </row>
        <row r="357">
          <cell r="H357" t="str">
            <v>6F217701PN</v>
          </cell>
        </row>
        <row r="357">
          <cell r="U357">
            <v>300</v>
          </cell>
        </row>
        <row r="358">
          <cell r="H358" t="str">
            <v>6F217701PN</v>
          </cell>
        </row>
        <row r="358">
          <cell r="U358">
            <v>1772</v>
          </cell>
        </row>
        <row r="359">
          <cell r="H359" t="str">
            <v>6F218601PN</v>
          </cell>
        </row>
        <row r="359">
          <cell r="U359">
            <v>12</v>
          </cell>
        </row>
        <row r="360">
          <cell r="H360" t="str">
            <v>6F218601PN</v>
          </cell>
        </row>
        <row r="360">
          <cell r="U360">
            <v>800</v>
          </cell>
        </row>
        <row r="361">
          <cell r="H361" t="str">
            <v>6F218601PN</v>
          </cell>
        </row>
        <row r="361">
          <cell r="U361">
            <v>2614</v>
          </cell>
        </row>
        <row r="362">
          <cell r="H362" t="str">
            <v>6F218601PN</v>
          </cell>
        </row>
        <row r="362">
          <cell r="U362">
            <v>4100</v>
          </cell>
        </row>
        <row r="363">
          <cell r="H363" t="str">
            <v>6F218601PN</v>
          </cell>
        </row>
        <row r="363">
          <cell r="U363">
            <v>500</v>
          </cell>
        </row>
        <row r="364">
          <cell r="H364" t="str">
            <v>6F218601PN</v>
          </cell>
        </row>
        <row r="364">
          <cell r="U364">
            <v>600</v>
          </cell>
        </row>
        <row r="365">
          <cell r="H365" t="str">
            <v>6F218601PN</v>
          </cell>
        </row>
        <row r="365">
          <cell r="U365">
            <v>5400</v>
          </cell>
        </row>
        <row r="366">
          <cell r="H366" t="str">
            <v>6F218601PN</v>
          </cell>
        </row>
        <row r="366">
          <cell r="U366">
            <v>800</v>
          </cell>
        </row>
        <row r="367">
          <cell r="H367" t="str">
            <v>6F218701PN</v>
          </cell>
        </row>
        <row r="367">
          <cell r="U367">
            <v>8371</v>
          </cell>
        </row>
        <row r="368">
          <cell r="H368" t="str">
            <v>6F218701PN</v>
          </cell>
        </row>
        <row r="368">
          <cell r="U368">
            <v>11500</v>
          </cell>
        </row>
        <row r="369">
          <cell r="H369" t="str">
            <v>6F218701PN</v>
          </cell>
        </row>
        <row r="369">
          <cell r="U369">
            <v>12400</v>
          </cell>
        </row>
        <row r="370">
          <cell r="H370" t="str">
            <v>6F219201PN</v>
          </cell>
        </row>
        <row r="370">
          <cell r="U370">
            <v>109</v>
          </cell>
        </row>
        <row r="371">
          <cell r="H371" t="str">
            <v>6F219201PN</v>
          </cell>
        </row>
        <row r="371">
          <cell r="U371">
            <v>792</v>
          </cell>
        </row>
        <row r="372">
          <cell r="H372" t="str">
            <v>6F219201PN</v>
          </cell>
        </row>
        <row r="372">
          <cell r="U372">
            <v>2232</v>
          </cell>
        </row>
        <row r="373">
          <cell r="H373" t="str">
            <v>6F219201PN</v>
          </cell>
        </row>
        <row r="373">
          <cell r="U373">
            <v>3043</v>
          </cell>
        </row>
        <row r="374">
          <cell r="H374" t="str">
            <v>6F219201PN</v>
          </cell>
        </row>
        <row r="374">
          <cell r="U374">
            <v>5100</v>
          </cell>
        </row>
        <row r="375">
          <cell r="H375" t="str">
            <v>6F219201PN</v>
          </cell>
        </row>
        <row r="375">
          <cell r="U375">
            <v>783</v>
          </cell>
        </row>
        <row r="376">
          <cell r="H376" t="str">
            <v>6F219201PN</v>
          </cell>
        </row>
        <row r="376">
          <cell r="U376">
            <v>2500</v>
          </cell>
        </row>
        <row r="377">
          <cell r="H377" t="str">
            <v>6F231401PN</v>
          </cell>
        </row>
        <row r="377">
          <cell r="U377">
            <v>3000</v>
          </cell>
        </row>
        <row r="378">
          <cell r="H378" t="str">
            <v>6F231401PN</v>
          </cell>
        </row>
        <row r="378">
          <cell r="U378">
            <v>3000</v>
          </cell>
        </row>
        <row r="379">
          <cell r="H379" t="str">
            <v>6F231401PN</v>
          </cell>
        </row>
        <row r="379">
          <cell r="U379">
            <v>3000</v>
          </cell>
        </row>
        <row r="380">
          <cell r="H380" t="str">
            <v>6F231401PN</v>
          </cell>
        </row>
        <row r="380">
          <cell r="U380">
            <v>1800</v>
          </cell>
        </row>
        <row r="381">
          <cell r="H381" t="str">
            <v>6F247401PN</v>
          </cell>
        </row>
        <row r="381">
          <cell r="U381">
            <v>10</v>
          </cell>
        </row>
        <row r="382">
          <cell r="H382" t="str">
            <v>6F247401PN</v>
          </cell>
        </row>
        <row r="382">
          <cell r="U382">
            <v>800</v>
          </cell>
        </row>
        <row r="383">
          <cell r="H383" t="str">
            <v>6F247401PN</v>
          </cell>
        </row>
        <row r="383">
          <cell r="U383">
            <v>1000</v>
          </cell>
        </row>
        <row r="384">
          <cell r="H384" t="str">
            <v>6F254401PN</v>
          </cell>
        </row>
        <row r="384">
          <cell r="U384">
            <v>1577</v>
          </cell>
        </row>
        <row r="385">
          <cell r="H385" t="str">
            <v>6F254401PN</v>
          </cell>
        </row>
        <row r="385">
          <cell r="U385">
            <v>300</v>
          </cell>
        </row>
        <row r="386">
          <cell r="H386" t="str">
            <v>6F254401PN</v>
          </cell>
        </row>
        <row r="386">
          <cell r="U386">
            <v>17348</v>
          </cell>
        </row>
        <row r="387">
          <cell r="H387" t="str">
            <v>6F254401PN</v>
          </cell>
        </row>
        <row r="387">
          <cell r="U387">
            <v>30000</v>
          </cell>
        </row>
        <row r="388">
          <cell r="H388" t="str">
            <v>6F254401PN</v>
          </cell>
        </row>
        <row r="388">
          <cell r="U388">
            <v>1200</v>
          </cell>
        </row>
        <row r="389">
          <cell r="H389" t="str">
            <v>6F257401PN</v>
          </cell>
        </row>
        <row r="389">
          <cell r="U389">
            <v>5100</v>
          </cell>
        </row>
        <row r="390">
          <cell r="H390" t="str">
            <v>6F257401PN</v>
          </cell>
        </row>
        <row r="390">
          <cell r="U390">
            <v>1100</v>
          </cell>
        </row>
        <row r="391">
          <cell r="H391" t="str">
            <v>6F273601PN</v>
          </cell>
        </row>
        <row r="391">
          <cell r="U391">
            <v>50000</v>
          </cell>
        </row>
        <row r="392">
          <cell r="H392" t="str">
            <v>6F273601PN</v>
          </cell>
        </row>
        <row r="392">
          <cell r="U392">
            <v>33560</v>
          </cell>
        </row>
        <row r="393">
          <cell r="H393" t="str">
            <v>6F273601PN</v>
          </cell>
        </row>
        <row r="393">
          <cell r="U393">
            <v>30000</v>
          </cell>
        </row>
        <row r="394">
          <cell r="H394" t="str">
            <v>6F273601PN</v>
          </cell>
        </row>
        <row r="394">
          <cell r="U394">
            <v>32000</v>
          </cell>
        </row>
        <row r="395">
          <cell r="H395" t="str">
            <v>6F273801PN</v>
          </cell>
        </row>
        <row r="395">
          <cell r="U395">
            <v>24000</v>
          </cell>
        </row>
        <row r="396">
          <cell r="H396" t="str">
            <v>6F273801PN</v>
          </cell>
        </row>
        <row r="396">
          <cell r="U396">
            <v>22000</v>
          </cell>
        </row>
        <row r="397">
          <cell r="H397" t="str">
            <v>6F273801PN</v>
          </cell>
        </row>
        <row r="397">
          <cell r="U397">
            <v>2800</v>
          </cell>
        </row>
        <row r="398">
          <cell r="H398" t="str">
            <v>6F273801PN</v>
          </cell>
        </row>
        <row r="398">
          <cell r="U398">
            <v>23000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393.4832407407" refreshedBy="xuehua.li" recordCount="713">
  <cacheSource type="worksheet">
    <worksheetSource ref="A2:AR715" sheet="未交清清单"/>
  </cacheSource>
  <cacheFields count="44">
    <cacheField name="业务实体" numFmtId="0">
      <sharedItems count="2">
        <s v="珠海承鸥卫浴用品有限公司"/>
        <s v="广州海鸥住宅工业股份有限公司"/>
      </sharedItems>
    </cacheField>
    <cacheField name="供应商名称" numFmtId="0">
      <sharedItems count="13">
        <s v="开平东航压铸卫浴有限公司"/>
        <s v="开平市中扬卫浴有限公司"/>
        <s v="开平市大长今五金制品有限公司"/>
        <s v="开平市汇航五金制品有限公司"/>
        <s v="开平市珊瑚卫浴实业有限公司"/>
        <s v="开平市迪朗五金塑料制品有限公司"/>
        <s v="广东顶尖管业科技有限公司"/>
        <s v="广州优云机械制造有限责任公司"/>
        <s v="广州镒沣金属制品有限公司"/>
        <s v="开平市中雅压铸卫浴有限公司"/>
        <s v="开平市五金天沃制品有限公司"/>
        <s v="开平市翰森卫浴有限公司"/>
        <s v="江门市东睿科技有限公司"/>
      </sharedItems>
    </cacheField>
    <cacheField name="供应商简称" numFmtId="0">
      <sharedItems count="13">
        <s v="东航"/>
        <s v="中扬"/>
        <s v="大长今"/>
        <s v="汇航"/>
        <s v="珊瑚"/>
        <s v="迪朗"/>
        <s v="顶尖"/>
        <s v="优云"/>
        <s v="镒沣"/>
        <s v="中雅"/>
        <s v="天沃"/>
        <s v="翰森"/>
        <s v="东睿"/>
      </sharedItems>
    </cacheField>
    <cacheField name="采购订单号" numFmtId="0">
      <sharedItems containsSemiMixedTypes="0" containsString="0" containsNumber="1" containsInteger="1" minValue="0" maxValue="71020121070743" count="157">
        <n v="71020121051195"/>
        <n v="71020121051443"/>
        <n v="71020121060304"/>
        <n v="71020121060810"/>
        <n v="71020121060988"/>
        <n v="71020121061450"/>
        <n v="71020121070034"/>
        <n v="71020121070038"/>
        <n v="71020121070354"/>
        <n v="71020121070574"/>
        <n v="71020121032216"/>
        <n v="71020121032219"/>
        <n v="71020121032236"/>
        <n v="71020121050651"/>
        <n v="71020121051190"/>
        <n v="71020121051437"/>
        <n v="71020121060298"/>
        <n v="71020121060805"/>
        <n v="71020121060986"/>
        <n v="71020121060992"/>
        <n v="71020121061027"/>
        <n v="71020121070030"/>
        <n v="71020121070053"/>
        <n v="71020121070344"/>
        <n v="71020121031926"/>
        <n v="71020121032241"/>
        <n v="71020121050653"/>
        <n v="71020121050870"/>
        <n v="71020121051194"/>
        <n v="71020121051444"/>
        <n v="71020121060210"/>
        <n v="71020121060808"/>
        <n v="71020121060916"/>
        <n v="71020121060987"/>
        <n v="71020121070039"/>
        <n v="71020121070338"/>
        <n v="71020121070353"/>
        <n v="71020121070575"/>
        <n v="71020121070743"/>
        <n v="71020121060922"/>
        <n v="71020121030992"/>
        <n v="71020121031262"/>
        <n v="71020121031360"/>
        <n v="71020121031525"/>
        <n v="71020121031598"/>
        <n v="71020121032031"/>
        <n v="71020121032238"/>
        <n v="71020121050337"/>
        <n v="71020121050650"/>
        <n v="71020121050873"/>
        <n v="71020121051191"/>
        <n v="71020121051438"/>
        <n v="71020121060110"/>
        <n v="71020121060138"/>
        <n v="71020121060299"/>
        <n v="71020121060468"/>
        <n v="71020121060623"/>
        <n v="71020121060806"/>
        <n v="71020121060990"/>
        <n v="71020121060995"/>
        <n v="71020121061033"/>
        <n v="71020121061041"/>
        <n v="71020121061134"/>
        <n v="71020121061317"/>
        <n v="71020121061329"/>
        <n v="71020121061449"/>
        <n v="71020121070032"/>
        <n v="71020121070337"/>
        <n v="71020121070346"/>
        <n v="71020121070571"/>
        <n v="71020121032239"/>
        <n v="71020121050338"/>
        <n v="71020121060807"/>
        <n v="71000121061516"/>
        <n v="71000121070704"/>
        <n v="71000121070926"/>
        <n v="71000121050637"/>
        <n v="71000121052003"/>
        <n v="71000121052203"/>
        <n v="71000121052216"/>
        <n v="71000121061521"/>
        <n v="71000121051494"/>
        <n v="71000121052002"/>
        <n v="71000121052580"/>
        <n v="71000121060492"/>
        <n v="71000121061518"/>
        <n v="71000121062088"/>
        <n v="71000121070138"/>
        <n v="71000121070925"/>
        <n v="71000121061165"/>
        <n v="71000121061525"/>
        <n v="71000121062095"/>
        <n v="71000121070144"/>
        <n v="71000121070795"/>
        <n v="71000121071058"/>
        <n v="71000121052001"/>
        <n v="71000121052678"/>
        <n v="71000121062089"/>
        <n v="71000121070136"/>
        <n v="71000121070701"/>
        <n v="71000121070922"/>
        <n v="71000121052599"/>
        <n v="71000121052686"/>
        <n v="71000121052722"/>
        <n v="71000121060021"/>
        <n v="71000121061403"/>
        <n v="71000121062178"/>
        <n v="71000121062320"/>
        <n v="71000121070139"/>
        <n v="71000121070381"/>
        <n v="71000121070710"/>
        <n v="71000121052005"/>
        <n v="71000121052603"/>
        <n v="71000121061740"/>
        <n v="71000121062094"/>
        <n v="71000121070143"/>
        <n v="71000121070382"/>
        <n v="71000121070927"/>
        <n v="71000121060019"/>
        <n v="71000121060156"/>
        <n v="71000121061983"/>
        <n v="71000121062076"/>
        <n v="71000121070137"/>
        <n v="71000121070594"/>
        <n v="71000121070703"/>
        <n v="71000121070924"/>
        <n v="71000121061586"/>
        <n v="71000121061996"/>
        <n v="71000121030233"/>
        <n v="71000121031138"/>
        <n v="71000121031341"/>
        <n v="71000121031463"/>
        <n v="71000121031820"/>
        <n v="71000121040471"/>
        <n v="71000121040798"/>
        <n v="71000121041923"/>
        <n v="71000121050190"/>
        <n v="71000121050797"/>
        <n v="71000121051410"/>
        <n v="71000121051831"/>
        <n v="71000121052109"/>
        <n v="71000121052453"/>
        <n v="71000121052652"/>
        <n v="71000121052668"/>
        <n v="71000121060199"/>
        <n v="71000121060541"/>
        <n v="71000121060637"/>
        <n v="71000121060931"/>
        <n v="71000121061193"/>
        <n v="71000121061583"/>
        <n v="71000121061809"/>
        <n v="71000121062218"/>
        <n v="71000121070080"/>
        <n v="71000121070432"/>
        <n v="71000121070876"/>
        <n v="71000121071132"/>
        <n v="71000121071331"/>
      </sharedItems>
    </cacheField>
    <cacheField name="采购订单创建日期" numFmtId="177">
      <sharedItems containsSemiMixedTypes="0" containsString="0" containsNonDate="0" containsDate="1" minDate="2021-03-09T00:00:00" maxDate="2021-07-15T00:00:00" count="58">
        <d v="2021-05-26T00:00:00"/>
        <d v="2021-05-31T00:00:00"/>
        <d v="2021-06-07T00:00:00"/>
        <d v="2021-06-16T00:00:00"/>
        <d v="2021-06-22T00:00:00"/>
        <d v="2021-06-30T00:00:00"/>
        <d v="2021-07-01T00:00:00"/>
        <d v="2021-07-07T00:00:00"/>
        <d v="2021-07-12T00:00:00"/>
        <d v="2021-04-26T00:00:00"/>
        <d v="2021-04-27T00:00:00"/>
        <d v="2021-05-13T00:00:00"/>
        <d v="2021-04-20T00:00:00"/>
        <d v="2021-05-19T00:00:00"/>
        <d v="2021-06-04T00:00:00"/>
        <d v="2021-06-19T00:00:00"/>
        <d v="2021-07-14T00:00:00"/>
        <d v="2021-06-21T00:00:00"/>
        <d v="2021-03-30T00:00:00"/>
        <d v="2021-04-06T00:00:00"/>
        <d v="2021-04-07T00:00:00"/>
        <d v="2021-04-10T00:00:00"/>
        <d v="2021-04-13T00:00:00"/>
        <d v="2021-04-22T00:00:00"/>
        <d v="2021-05-08T00:00:00"/>
        <d v="2021-06-02T00:00:00"/>
        <d v="2021-06-03T00:00:00"/>
        <d v="2021-06-08T00:00:00"/>
        <d v="2021-06-11T00:00:00"/>
        <d v="2021-06-24T00:00:00"/>
        <d v="2021-06-28T00:00:00"/>
        <d v="2021-07-10T00:00:00"/>
        <d v="2021-05-10T00:00:00"/>
        <d v="2021-05-24T00:00:00"/>
        <d v="2021-05-18T00:00:00"/>
        <d v="2021-06-26T00:00:00"/>
        <d v="2021-07-02T00:00:00"/>
        <d v="2021-06-15T00:00:00"/>
        <d v="2021-07-08T00:00:00"/>
        <d v="2021-06-01T00:00:00"/>
        <d v="2021-06-18T00:00:00"/>
        <d v="2021-07-05T00:00:00"/>
        <d v="2021-07-06T00:00:00"/>
        <d v="2021-06-25T00:00:00"/>
        <d v="2021-03-09T00:00:00"/>
        <d v="2021-03-20T00:00:00"/>
        <d v="2021-03-23T00:00:00"/>
        <d v="2021-03-24T00:00:00"/>
        <d v="2021-04-23T00:00:00"/>
        <d v="2021-05-05T00:00:00"/>
        <d v="2021-05-11T00:00:00"/>
        <d v="2021-05-17T00:00:00"/>
        <d v="2021-05-20T00:00:00"/>
        <d v="2021-05-25T00:00:00"/>
        <d v="2021-05-28T00:00:00"/>
        <d v="2021-07-09T00:00:00"/>
        <d v="2021-07-13T00:00:00"/>
        <d v="2021-07-15T00:00:00"/>
      </sharedItems>
    </cacheField>
    <cacheField name="接收关闭状态" numFmtId="0">
      <sharedItems count="2">
        <s v="打开"/>
        <s v="接收关闭"/>
      </sharedItems>
    </cacheField>
    <cacheField name="采购员" numFmtId="0">
      <sharedItems count="3">
        <s v="王亚军,"/>
        <s v="朱振国,"/>
        <s v="池家伟,"/>
      </sharedItems>
    </cacheField>
    <cacheField name="订单行号" numFmtId="0">
      <sharedItems containsSemiMixedTypes="0" containsString="0" containsNumber="1" containsInteger="1" minValue="0" maxValue="54" count="53">
        <n v="12"/>
        <n v="2"/>
        <n v="3"/>
        <n v="4"/>
        <n v="5"/>
        <n v="6"/>
        <n v="7"/>
        <n v="8"/>
        <n v="9"/>
        <n v="10"/>
        <n v="11"/>
        <n v="13"/>
        <n v="14"/>
        <n v="15"/>
        <n v="16"/>
        <n v="17"/>
        <n v="21"/>
        <n v="28"/>
        <n v="29"/>
        <n v="30"/>
        <n v="31"/>
        <n v="37"/>
        <n v="38"/>
        <n v="39"/>
        <n v="40"/>
        <n v="41"/>
        <n v="42"/>
        <n v="43"/>
        <n v="44"/>
        <n v="45"/>
        <n v="46"/>
        <n v="1"/>
        <n v="22"/>
        <n v="23"/>
        <n v="24"/>
        <n v="25"/>
        <n v="26"/>
        <n v="27"/>
        <n v="32"/>
        <n v="34"/>
        <n v="18"/>
        <n v="19"/>
        <n v="20"/>
        <n v="33"/>
        <n v="35"/>
        <n v="36"/>
        <n v="47"/>
        <n v="48"/>
        <n v="49"/>
        <n v="51"/>
        <n v="52"/>
        <n v="53"/>
        <n v="54"/>
      </sharedItems>
    </cacheField>
    <cacheField name="物料编码" numFmtId="0">
      <sharedItems count="123">
        <s v="6F279901NT"/>
        <s v="6F273701NT"/>
        <s v="6F280001NT"/>
        <s v="6F280101NT"/>
        <s v="6F188101NT"/>
        <s v="6F211801NT"/>
        <s v="6F221101NT"/>
        <s v="6F212301NT"/>
        <s v="6F168601NT"/>
        <s v="6F236901NT"/>
        <s v="6F189301NT"/>
        <s v="6F271801NT"/>
        <s v="6F275301NT"/>
        <s v="6F270801NT"/>
        <s v="6F255601NT"/>
        <s v="6F255501NT"/>
        <s v="6F212201NT"/>
        <s v="6F207601NT"/>
        <s v="6F207501NT"/>
        <s v="6F225201NT"/>
        <s v="6F030101NT"/>
        <s v="6F184301NT"/>
        <s v="6F168901NT"/>
        <s v="6F211701NT"/>
        <s v="6F286601NT"/>
        <s v="6F196601NT"/>
        <s v="6F122601NT"/>
        <s v="6F199901NT"/>
        <s v="6F238701PN"/>
        <s v="6F122401PN"/>
        <s v="6F226701PN"/>
        <s v="6F191801PN"/>
        <s v="6F170801PN"/>
        <s v="6F277501PN"/>
        <s v="6F137001PN"/>
        <s v="6F932701PN"/>
        <s v="6F226901PN"/>
        <s v="6F132701PN"/>
        <s v="6F197201PN"/>
        <s v="6F217101PN"/>
        <s v="6F219501PN"/>
        <s v="5C0056400PN0"/>
        <s v="5C0062900PN0"/>
        <s v="6F225901PN"/>
        <s v="6F051401PN"/>
        <s v="6F099101PN"/>
        <s v="6F278001PN"/>
        <s v="6F163601PN"/>
        <s v="6F187601PN"/>
        <s v="6F273901PN"/>
        <s v="6F219001PN"/>
        <s v="6F239001PN"/>
        <s v="6F236101PN"/>
        <s v="6F251201PN"/>
        <s v="6F251101PN"/>
        <s v="6F038501PN"/>
        <s v="6F156201PN"/>
        <s v="6F233101PN"/>
        <s v="6F166601PN"/>
        <s v="6F263001CP"/>
        <s v="6F271701CP"/>
        <s v="6F234101CP"/>
        <s v="6F185901CP"/>
        <s v="6F263001ALN"/>
        <s v="6F219101CP"/>
        <s v="6F059501CP"/>
        <s v="6F267001PN"/>
        <s v="6F010501PN"/>
        <s v="6F010301PN"/>
        <s v="6F248901PN"/>
        <s v="6F267001CP"/>
        <s v="6F241201CP"/>
        <s v="6F205201CP"/>
        <s v="6F271101ALN"/>
        <s v="6F271101CP"/>
        <s v="681074012PN"/>
        <s v="6F103301CP"/>
        <s v="6F267001NT"/>
        <s v="6F146301PN"/>
        <s v="6F052701PN"/>
        <s v="6F031101PN"/>
        <s v="6F031001PN"/>
        <s v="6F273801PN"/>
        <s v="6F273601PN"/>
        <s v="6F254401PN"/>
        <s v="6F247401PN"/>
        <s v="6F160501PN"/>
        <s v="6F151101PN"/>
        <s v="6F218701PN"/>
        <s v="6F258601PN"/>
        <s v="6F218601PN"/>
        <s v="6F231401PN"/>
        <s v="6F219201PN"/>
        <s v="5N0062100PN0"/>
        <s v="6F116501PN"/>
        <s v="5N0Z0020PN"/>
        <s v="6F257401PN"/>
        <s v="6F207401PN"/>
        <s v="5C0080500PN0"/>
        <s v="5C0073400PN0"/>
        <s v="5C0081300PN0"/>
        <s v="6F208201PN"/>
        <s v="6F217701PN"/>
        <s v="6F208501PN"/>
        <s v="6F150801PN"/>
        <s v="5C0Z0327CP"/>
        <s v="5C0008500CP0A1"/>
        <s v="5C0Z0444CP"/>
        <s v="5C0008500CP0A0"/>
        <s v="5N0057300CP0"/>
        <s v="5C0062500CP0A1"/>
        <s v="5C0092000CP0A0"/>
        <s v="5C0Z0311CP"/>
        <s v="5C0077400CP0A2"/>
        <s v="5C0095900CP0"/>
        <s v="5C0062500CP0A4"/>
        <s v="59011402CP"/>
        <s v="5C0079500CP0"/>
        <s v="5C0Z0411CP"/>
        <s v="5C0006000CP0A0"/>
        <s v="5L0Z0027CP"/>
        <s v="5C0Z0125CP"/>
        <s v="5C0074500CP0"/>
      </sharedItems>
    </cacheField>
    <cacheField name="物料描述" numFmtId="0">
      <sharedItems count="28">
        <s v="把手//3#锌合金"/>
        <s v="把手//"/>
        <s v="把手"/>
        <s v="把手//ZZnAlD4-0.1"/>
        <s v="支架//3#锌合金"/>
        <s v="十字把手//3#锌合金"/>
        <s v="支座//3#锌合金"/>
        <s v="把手柄//3#锌合金"/>
        <s v="马桶把手//3#锌合金"/>
        <s v="支座//3#锌合金//3#锌合金"/>
        <s v="把手座//3#锌合金"/>
        <s v="手柄//3#锌合金//3#锌合金"/>
        <s v="法兰"/>
        <s v="1399196把手//3#锌合金"/>
        <s v="马桶水箱把手//3#锌合金"/>
        <s v="马桶水箱把手(可自制外购)//3#锌合金"/>
        <s v="414588040 把手//3#锌合金"/>
        <s v="三通//3#锌合金"/>
        <s v="把手//锌合金//3#锌合金"/>
        <s v="座//3#锌合金"/>
        <s v="把手//ZZnAlD4-0.1//3#锌合金"/>
        <s v="一字把手//3#锌合金"/>
        <s v="把手//ZZnAlD4-0.1////6F157101CP"/>
        <s v="(打字)把手//ZZnAlD4-0.1"/>
        <s v="把手（打字）把手（打字）//ZZnAlD4-0.1"/>
        <s v="(打字)把手//3#锌合金"/>
        <s v="本体//ZINC"/>
        <s v="装饰罩"/>
      </sharedItems>
    </cacheField>
    <cacheField name="物料单位" numFmtId="0">
      <sharedItems count="1">
        <s v="PCS"/>
      </sharedItems>
    </cacheField>
    <cacheField name="采购数量" numFmtId="0">
      <sharedItems containsSemiMixedTypes="0" containsString="0" containsNumber="1" containsInteger="1" minValue="0" maxValue="57000" count="242">
        <n v="1000"/>
        <n v="800"/>
        <n v="1700"/>
        <n v="1100"/>
        <n v="6600"/>
        <n v="6200"/>
        <n v="3000"/>
        <n v="4000"/>
        <n v="1800"/>
        <n v="2200"/>
        <n v="5800"/>
        <n v="6000"/>
        <n v="4300"/>
        <n v="4600"/>
        <n v="2400"/>
        <n v="2100"/>
        <n v="5300"/>
        <n v="5600"/>
        <n v="5200"/>
        <n v="5000"/>
        <n v="1200"/>
        <n v="3100"/>
        <n v="1300"/>
        <n v="5500"/>
        <n v="4100"/>
        <n v="3200"/>
        <n v="4500"/>
        <n v="2000"/>
        <n v="2300"/>
        <n v="3700"/>
        <n v="3500"/>
        <n v="4400"/>
        <n v="1500"/>
        <n v="3800"/>
        <n v="5450"/>
        <n v="1620"/>
        <n v="700"/>
        <n v="396"/>
        <n v="750"/>
        <n v="1250"/>
        <n v="625"/>
        <n v="13800"/>
        <n v="11500"/>
        <n v="400"/>
        <n v="2500"/>
        <n v="650"/>
        <n v="1950"/>
        <n v="12500"/>
        <n v="11300"/>
        <n v="3400"/>
        <n v="4480"/>
        <n v="1011"/>
        <n v="833"/>
        <n v="600"/>
        <n v="300"/>
        <n v="7500"/>
        <n v="3900"/>
        <n v="11200"/>
        <n v="5900"/>
        <n v="6700"/>
        <n v="1600"/>
        <n v="1400"/>
        <n v="10000"/>
        <n v="3300"/>
        <n v="5700"/>
        <n v="9000"/>
        <n v="7400"/>
        <n v="7000"/>
        <n v="500"/>
        <n v="200"/>
        <n v="6400"/>
        <n v="3360"/>
        <n v="1450"/>
        <n v="16800"/>
        <n v="15286"/>
        <n v="14934"/>
        <n v="17423"/>
        <n v="579"/>
        <n v="2560"/>
        <n v="3818"/>
        <n v="1900"/>
        <n v="3600"/>
        <n v="4700"/>
        <n v="2800"/>
        <n v="900"/>
        <n v="6300"/>
        <n v="7800"/>
        <n v="5689"/>
        <n v="15912"/>
        <n v="4134"/>
        <n v="21000"/>
        <n v="4372"/>
        <n v="13000"/>
        <n v="5556"/>
        <n v="550"/>
        <n v="4800"/>
        <n v="1550"/>
        <n v="11000"/>
        <n v="2769"/>
        <n v="8334"/>
        <n v="2014"/>
        <n v="12000"/>
        <n v="189"/>
        <n v="190"/>
        <n v="10500"/>
        <n v="2016"/>
        <n v="590"/>
        <n v="2372"/>
        <n v="5184"/>
        <n v="1295"/>
        <n v="12733"/>
        <n v="8200"/>
        <n v="10800"/>
        <n v="3050"/>
        <n v="1106"/>
        <n v="16000"/>
        <n v="57000"/>
        <n v="38000"/>
        <n v="19000"/>
        <n v="50000"/>
        <n v="17600"/>
        <n v="100"/>
        <n v="6500"/>
        <n v="10600"/>
        <n v="8300"/>
        <n v="26000"/>
        <n v="30000"/>
        <n v="32000"/>
        <n v="22000"/>
        <n v="23000"/>
        <n v="7200"/>
        <n v="9200"/>
        <n v="2600"/>
        <n v="20000"/>
        <n v="11600"/>
        <n v="33400"/>
        <n v="11400"/>
        <n v="12400"/>
        <n v="23320"/>
        <n v="2900"/>
        <n v="4900"/>
        <n v="5400"/>
        <n v="6900"/>
        <n v="5100"/>
        <n v="6075"/>
        <n v="9100"/>
        <n v="8000"/>
        <n v="2456"/>
        <n v="584"/>
        <n v="29"/>
        <n v="204"/>
        <n v="612"/>
        <n v="738"/>
        <n v="405"/>
        <n v="388"/>
        <n v="739"/>
        <n v="1188"/>
        <n v="241"/>
        <n v="294"/>
        <n v="244"/>
        <n v="765"/>
        <n v="678"/>
        <n v="203"/>
        <n v="306"/>
        <n v="918"/>
        <n v="90"/>
        <n v="96"/>
        <n v="792"/>
        <n v="567"/>
        <n v="4162"/>
        <n v="3179"/>
        <n v="816"/>
        <n v="1982"/>
        <n v="146"/>
        <n v="67"/>
        <n v="61"/>
        <n v="815"/>
        <n v="147"/>
        <n v="635"/>
        <n v="95"/>
        <n v="1651"/>
        <n v="1548"/>
        <n v="326"/>
        <n v="943"/>
        <n v="1035"/>
        <n v="94"/>
        <n v="53"/>
        <n v="20"/>
        <n v="1155"/>
        <n v="215"/>
        <n v="159"/>
        <n v="8"/>
        <n v="2764"/>
        <n v="1036"/>
        <n v="2071"/>
        <n v="1307"/>
        <n v="2364"/>
        <n v="4076"/>
        <n v="2606"/>
        <n v="1"/>
        <n v="1535"/>
        <n v="1882"/>
        <n v="13"/>
        <n v="206"/>
        <n v="756"/>
        <n v="504"/>
        <n v="17"/>
        <n v="1016"/>
        <n v="440"/>
        <n v="641"/>
        <n v="382"/>
        <n v="1072"/>
        <n v="518"/>
        <n v="626"/>
        <n v="1497"/>
        <n v="42"/>
        <n v="102"/>
        <n v="2072"/>
        <n v="194"/>
        <n v="783"/>
        <n v="12"/>
        <n v="281"/>
        <n v="740"/>
        <n v="552"/>
        <n v="62"/>
        <n v="116"/>
        <n v="687"/>
        <n v="786"/>
        <n v="761"/>
        <n v="559"/>
        <n v="502"/>
        <n v="2614"/>
        <n v="2588"/>
        <n v="725"/>
        <n v="1404"/>
        <n v="195"/>
        <n v="2218"/>
        <n v="505"/>
        <n v="2070"/>
        <n v="482"/>
        <n v="1277"/>
        <n v="3764"/>
      </sharedItems>
    </cacheField>
    <cacheField name="需求日期" numFmtId="177">
      <sharedItems containsSemiMixedTypes="0" containsString="0" containsNonDate="0" containsDate="1" minDate="2021-04-03T00:00:00" maxDate="2021-10-04T00:00:00" count="123">
        <d v="2021-07-05T00:00:00"/>
        <d v="2021-08-01T00:00:00"/>
        <d v="2021-07-28T00:00:00"/>
        <d v="2021-07-22T00:00:00"/>
        <d v="2021-08-05T00:00:00"/>
        <d v="2021-08-03T00:00:00"/>
        <d v="2021-07-26T00:00:00"/>
        <d v="2021-07-27T00:00:00"/>
        <d v="2021-07-25T00:00:00"/>
        <d v="2021-07-24T00:00:00"/>
        <d v="2021-07-23T00:00:00"/>
        <d v="2021-07-16T00:00:00"/>
        <d v="2021-07-10T00:00:00"/>
        <d v="2021-07-20T00:00:00"/>
        <d v="2021-07-18T00:00:00"/>
        <d v="2021-07-13T00:00:00"/>
        <d v="2021-08-20T00:00:00"/>
        <d v="2021-08-14T00:00:00"/>
        <d v="2021-08-10T00:00:00"/>
        <d v="2021-08-21T00:00:00"/>
        <d v="2021-08-13T00:00:00"/>
        <d v="2021-08-09T00:00:00"/>
        <d v="2021-08-08T00:00:00"/>
        <d v="2021-08-18T00:00:00"/>
        <d v="2021-08-04T00:00:00"/>
        <d v="2021-08-02T00:00:00"/>
        <d v="2021-07-14T00:00:00"/>
        <d v="2021-07-12T00:00:00"/>
        <d v="2021-07-15T00:00:00"/>
        <d v="2021-08-06T00:00:00"/>
        <d v="2021-08-17T00:00:00"/>
        <d v="2021-08-15T00:00:00"/>
        <d v="2021-07-19T00:00:00"/>
        <d v="2021-08-24T00:00:00"/>
        <d v="2021-08-25T00:00:00"/>
        <d v="2021-08-27T00:00:00"/>
        <d v="2021-08-31T00:00:00"/>
        <d v="2021-08-28T00:00:00"/>
        <d v="2021-08-26T00:00:00"/>
        <d v="2021-07-29T00:00:00"/>
        <d v="2021-09-01T00:00:00"/>
        <d v="2021-07-21T00:00:00"/>
        <d v="2021-07-30T00:00:00"/>
        <d v="2021-07-17T00:00:00"/>
        <d v="2021-09-03T00:00:00"/>
        <d v="2021-09-11T00:00:00"/>
        <d v="2021-05-06T00:00:00"/>
        <d v="2021-05-08T00:00:00"/>
        <d v="2021-05-24T00:00:00"/>
        <d v="2021-06-07T00:00:00"/>
        <d v="2021-06-05T00:00:00"/>
        <d v="2021-06-27T00:00:00"/>
        <d v="2021-06-03T00:00:00"/>
        <d v="2021-06-01T00:00:00"/>
        <d v="2021-05-31T00:00:00"/>
        <d v="2021-08-19T00:00:00"/>
        <d v="2021-08-16T00:00:00"/>
        <d v="2021-07-07T00:00:00"/>
        <d v="2021-07-03T00:00:00"/>
        <d v="2021-07-02T00:00:00"/>
        <d v="2021-07-09T00:00:00"/>
        <d v="2021-07-06T00:00:00"/>
        <d v="2021-07-08T00:00:00"/>
        <d v="2021-07-11T00:00:00"/>
        <d v="2021-07-01T00:00:00"/>
        <d v="2021-06-30T00:00:00"/>
        <d v="2021-06-29T00:00:00"/>
        <d v="2021-06-28T00:00:00"/>
        <d v="2021-06-26T00:00:00"/>
        <d v="2021-06-25T00:00:00"/>
        <d v="2021-07-04T00:00:00"/>
        <d v="2021-06-24T00:00:00"/>
        <d v="2021-06-23T00:00:00"/>
        <d v="2021-06-22T00:00:00"/>
        <d v="2021-06-21T00:00:00"/>
        <d v="2021-06-20T00:00:00"/>
        <d v="2021-06-19T00:00:00"/>
        <d v="2021-08-07T00:00:00"/>
        <d v="2021-08-12T00:00:00"/>
        <d v="2021-08-11T00:00:00"/>
        <d v="2021-04-19T00:00:00"/>
        <d v="2021-04-14T00:00:00"/>
        <d v="2021-05-29T00:00:00"/>
        <d v="2021-05-28T00:00:00"/>
        <d v="2021-05-27T00:00:00"/>
        <d v="2021-06-09T00:00:00"/>
        <d v="2021-06-16T00:00:00"/>
        <d v="2021-09-02T00:00:00"/>
        <d v="2021-04-05T00:00:00"/>
        <d v="2021-04-03T00:00:00"/>
        <d v="2021-05-12T00:00:00"/>
        <d v="2021-04-26T00:00:00"/>
        <d v="2021-04-22T00:00:00"/>
        <d v="2021-05-03T00:00:00"/>
        <d v="2021-05-20T00:00:00"/>
        <d v="2021-06-08T00:00:00"/>
        <d v="2021-05-26T00:00:00"/>
        <d v="2021-06-15T00:00:00"/>
        <d v="2021-06-12T00:00:00"/>
        <d v="2021-06-11T00:00:00"/>
        <d v="2021-06-10T00:00:00"/>
        <d v="2021-08-30T00:00:00"/>
        <d v="2021-08-23T00:00:00"/>
        <d v="2021-09-06T00:00:00"/>
        <d v="2021-07-31T00:00:00"/>
        <d v="2021-05-22T00:00:00"/>
        <d v="2021-05-14T00:00:00"/>
        <d v="2021-05-25T00:00:00"/>
        <d v="2021-09-28T00:00:00"/>
        <d v="2021-09-21T00:00:00"/>
        <d v="2021-09-13T00:00:00"/>
        <d v="2021-09-30T00:00:00"/>
        <d v="2021-09-20T00:00:00"/>
        <d v="2021-06-04T00:00:00"/>
        <d v="2021-05-21T00:00:00"/>
        <d v="2021-06-17T00:00:00"/>
        <d v="2021-06-18T00:00:00"/>
        <d v="2021-09-17T00:00:00"/>
        <d v="2021-05-17T00:00:00"/>
        <d v="2021-05-10T00:00:00"/>
        <d v="2021-06-14T00:00:00"/>
        <d v="2021-10-04T00:00:00"/>
        <d v="2021-09-27T00:00:00"/>
      </sharedItems>
    </cacheField>
    <cacheField name="承诺日期" numFmtId="177">
      <sharedItems containsString="0" containsBlank="1" containsNonDate="0" containsDate="1" minDate="2021-04-15T00:00:00" maxDate="2021-10-30T00:00:00" count="100">
        <d v="2021-07-05T00:00:00"/>
        <d v="2021-08-01T00:00:00"/>
        <d v="2021-07-28T00:00:00"/>
        <d v="2021-07-22T00:00:00"/>
        <d v="2021-08-05T00:00:00"/>
        <d v="2021-08-03T00:00:00"/>
        <d v="2021-07-26T00:00:00"/>
        <d v="2021-07-27T00:00:00"/>
        <d v="2021-07-25T00:00:00"/>
        <d v="2021-07-24T00:00:00"/>
        <d v="2021-07-23T00:00:00"/>
        <d v="2021-07-16T00:00:00"/>
        <d v="2021-07-10T00:00:00"/>
        <d v="2021-07-20T00:00:00"/>
        <d v="2021-07-18T00:00:00"/>
        <d v="2021-07-13T00:00:00"/>
        <d v="2021-08-20T00:00:00"/>
        <d v="2021-08-14T00:00:00"/>
        <d v="2021-08-10T00:00:00"/>
        <d v="2021-08-21T00:00:00"/>
        <d v="2021-08-13T00:00:00"/>
        <d v="2021-08-09T00:00:00"/>
        <d v="2021-08-08T00:00:00"/>
        <d v="2021-08-18T00:00:00"/>
        <d v="2021-08-04T00:00:00"/>
        <d v="2021-08-02T00:00:00"/>
        <d v="2021-07-14T00:00:00"/>
        <d v="2021-07-12T00:00:00"/>
        <d v="2021-07-15T00:00:00"/>
        <d v="2021-08-06T00:00:00"/>
        <d v="2021-08-17T00:00:00"/>
        <d v="2021-08-15T00:00:00"/>
        <d v="2021-07-19T00:00:00"/>
        <d v="2021-08-24T00:00:00"/>
        <d v="2021-08-25T00:00:00"/>
        <d v="2021-08-27T00:00:00"/>
        <d v="2021-08-16T00:00:00"/>
        <d v="2021-08-28T00:00:00"/>
        <d v="2021-08-26T00:00:00"/>
        <d v="2021-07-29T00:00:00"/>
        <m/>
        <d v="2021-07-21T00:00:00"/>
        <d v="2021-08-31T00:00:00"/>
        <d v="2021-07-30T00:00:00"/>
        <d v="2021-07-17T00:00:00"/>
        <d v="2021-05-28T00:00:00"/>
        <d v="2021-05-30T00:00:00"/>
        <d v="2021-05-24T00:00:00"/>
        <d v="2021-06-26T00:00:00"/>
        <d v="2021-06-24T00:00:00"/>
        <d v="2021-06-22T00:00:00"/>
        <d v="2021-06-20T00:00:00"/>
        <d v="2021-06-18T00:00:00"/>
        <d v="2021-06-01T00:00:00"/>
        <d v="2021-08-19T00:00:00"/>
        <d v="2021-07-07T00:00:00"/>
        <d v="2021-07-03T00:00:00"/>
        <d v="2021-07-02T00:00:00"/>
        <d v="2021-07-09T00:00:00"/>
        <d v="2021-07-06T00:00:00"/>
        <d v="2021-07-08T00:00:00"/>
        <d v="2021-07-11T00:00:00"/>
        <d v="2021-08-12T00:00:00"/>
        <d v="2021-08-11T00:00:00"/>
        <d v="2021-08-07T00:00:00"/>
        <d v="2021-09-01T00:00:00"/>
        <d v="2021-05-27T00:00:00"/>
        <d v="2021-06-16T00:00:00"/>
        <d v="2021-10-30T00:00:00"/>
        <d v="2021-06-23T00:00:00"/>
        <d v="2021-05-25T00:00:00"/>
        <d v="2021-04-15T00:00:00"/>
        <d v="2021-06-13T00:00:00"/>
        <d v="2021-06-14T00:00:00"/>
        <d v="2021-06-15T00:00:00"/>
        <d v="2021-06-03T00:00:00"/>
        <d v="2021-06-17T00:00:00"/>
        <d v="2021-06-19T00:00:00"/>
        <d v="2021-07-04T00:00:00"/>
        <d v="2021-06-27T00:00:00"/>
        <d v="2021-07-01T00:00:00"/>
        <d v="2021-06-21T00:00:00"/>
        <d v="2021-06-12T00:00:00"/>
        <d v="2021-06-11T00:00:00"/>
        <d v="2021-06-10T00:00:00"/>
        <d v="2021-06-28T00:00:00"/>
        <d v="2021-06-09T00:00:00"/>
        <d v="2021-08-30T00:00:00"/>
        <d v="2021-08-23T00:00:00"/>
        <d v="2021-09-03T00:00:00"/>
        <d v="2021-09-06T00:00:00"/>
        <d v="2021-05-22T00:00:00"/>
        <d v="2021-05-26T00:00:00"/>
        <d v="2021-05-29T00:00:00"/>
        <d v="2021-06-05T00:00:00"/>
        <d v="2021-06-30T00:00:00"/>
        <d v="2021-09-13T00:00:00"/>
        <d v="2021-09-20T00:00:00"/>
        <d v="2021-10-04T00:00:00"/>
        <d v="2021-09-27T00:00:00"/>
      </sharedItems>
    </cacheField>
    <cacheField name="月份" numFmtId="177">
      <sharedItems count="4">
        <s v="7月"/>
        <s v="8月"/>
        <s v="9月"/>
        <s v="10月"/>
      </sharedItems>
    </cacheField>
    <cacheField name="子库" numFmtId="0">
      <sharedItems count="3">
        <s v="T000"/>
        <s v="N000"/>
        <s v="L001"/>
      </sharedItems>
    </cacheField>
    <cacheField name="海关手册号" numFmtId="0">
      <sharedItems containsString="0" containsBlank="1" containsNonDate="0" count="1">
        <m/>
      </sharedItems>
    </cacheField>
    <cacheField name="海关手册项号" numFmtId="0">
      <sharedItems containsString="0" containsBlank="1" containsNonDate="0" count="1">
        <m/>
      </sharedItems>
    </cacheField>
    <cacheField name="暂收数量(发运行汇总数量)" numFmtId="0">
      <sharedItems containsSemiMixedTypes="0" containsString="0" containsNumber="1" containsInteger="1" minValue="0" maxValue="23320" count="85">
        <n v="0"/>
        <n v="5580"/>
        <n v="5120"/>
        <n v="2060"/>
        <n v="4000"/>
        <n v="2019"/>
        <n v="1352"/>
        <n v="1442"/>
        <n v="952"/>
        <n v="3000"/>
        <n v="2031"/>
        <n v="144"/>
        <n v="4281"/>
        <n v="2380"/>
        <n v="3147"/>
        <n v="1422"/>
        <n v="1391"/>
        <n v="3218"/>
        <n v="2520"/>
        <n v="59"/>
        <n v="2043"/>
        <n v="3332"/>
        <n v="2099"/>
        <n v="2160"/>
        <n v="200"/>
        <n v="674"/>
        <n v="954"/>
        <n v="849"/>
        <n v="1474"/>
        <n v="723"/>
        <n v="2689"/>
        <n v="2232"/>
        <n v="1500"/>
        <n v="2980"/>
        <n v="940"/>
        <n v="1480"/>
        <n v="2282"/>
        <n v="2307"/>
        <n v="8740"/>
        <n v="5200"/>
        <n v="6829"/>
        <n v="10748"/>
        <n v="1448"/>
        <n v="2000"/>
        <n v="16440"/>
        <n v="14907"/>
        <n v="990"/>
        <n v="8644"/>
        <n v="14521"/>
        <n v="20000"/>
        <n v="3658"/>
        <n v="17709"/>
        <n v="23320"/>
        <n v="14"/>
        <n v="6791"/>
        <n v="2357"/>
        <n v="868"/>
        <n v="1008"/>
        <n v="1860"/>
        <n v="426"/>
        <n v="400"/>
        <n v="20"/>
        <n v="6075"/>
        <n v="6515"/>
        <n v="865"/>
        <n v="984"/>
        <n v="1794"/>
        <n v="3472"/>
        <n v="300"/>
        <n v="7441"/>
        <n v="10000"/>
        <n v="33"/>
        <n v="7"/>
        <n v="311"/>
        <n v="684"/>
        <n v="3565"/>
        <n v="302"/>
        <n v="398"/>
        <n v="54"/>
        <n v="1597"/>
        <n v="340"/>
        <n v="46"/>
        <n v="774"/>
        <n v="115"/>
        <n v="504"/>
      </sharedItems>
    </cacheField>
    <cacheField name="已检验数量(发运行汇总数量)" numFmtId="0">
      <sharedItems containsSemiMixedTypes="0" containsString="0" containsNumber="1" containsInteger="1" minValue="0" maxValue="23194" count="78">
        <n v="0"/>
        <n v="5580"/>
        <n v="5120"/>
        <n v="2060"/>
        <n v="4000"/>
        <n v="2019"/>
        <n v="1352"/>
        <n v="1442"/>
        <n v="952"/>
        <n v="3000"/>
        <n v="2031"/>
        <n v="144"/>
        <n v="4281"/>
        <n v="2380"/>
        <n v="3147"/>
        <n v="1422"/>
        <n v="1391"/>
        <n v="3218"/>
        <n v="2520"/>
        <n v="59"/>
        <n v="2043"/>
        <n v="3332"/>
        <n v="2099"/>
        <n v="2160"/>
        <n v="200"/>
        <n v="674"/>
        <n v="954"/>
        <n v="849"/>
        <n v="1474"/>
        <n v="723"/>
        <n v="2689"/>
        <n v="2232"/>
        <n v="1500"/>
        <n v="2980"/>
        <n v="940"/>
        <n v="1480"/>
        <n v="2282"/>
        <n v="2307"/>
        <n v="8740"/>
        <n v="5200"/>
        <n v="6829"/>
        <n v="10748"/>
        <n v="1448"/>
        <n v="2000"/>
        <n v="16440"/>
        <n v="14907"/>
        <n v="990"/>
        <n v="8639"/>
        <n v="14521"/>
        <n v="14998"/>
        <n v="2540"/>
        <n v="16009"/>
        <n v="23194"/>
        <n v="6791"/>
        <n v="2357"/>
        <n v="868"/>
        <n v="1008"/>
        <n v="1860"/>
        <n v="426"/>
        <n v="400"/>
        <n v="20"/>
        <n v="5720"/>
        <n v="6515"/>
        <n v="984"/>
        <n v="1794"/>
        <n v="3472"/>
        <n v="300"/>
        <n v="5051"/>
        <n v="7"/>
        <n v="684"/>
        <n v="302"/>
        <n v="54"/>
        <n v="1597"/>
        <n v="340"/>
        <n v="46"/>
        <n v="774"/>
        <n v="115"/>
        <n v="504"/>
      </sharedItems>
    </cacheField>
    <cacheField name="检验不合格数量(发运行汇总数量)" numFmtId="0">
      <sharedItems containsSemiMixedTypes="0" containsString="0" containsNumber="1" containsInteger="1" minValue="0" maxValue="5" count="2">
        <n v="0"/>
        <n v="5"/>
      </sharedItems>
    </cacheField>
    <cacheField name="入库数量" numFmtId="0">
      <sharedItems containsSemiMixedTypes="0" containsString="0" containsNumber="1" containsInteger="1" minValue="0" maxValue="23194" count="81">
        <n v="0"/>
        <n v="5580"/>
        <n v="5120"/>
        <n v="3040"/>
        <n v="2019"/>
        <n v="1352"/>
        <n v="1442"/>
        <n v="952"/>
        <n v="1203"/>
        <n v="1380"/>
        <n v="144"/>
        <n v="4281"/>
        <n v="2380"/>
        <n v="3147"/>
        <n v="1422"/>
        <n v="1391"/>
        <n v="2378"/>
        <n v="2520"/>
        <n v="59"/>
        <n v="2043"/>
        <n v="3332"/>
        <n v="2099"/>
        <n v="2160"/>
        <n v="200"/>
        <n v="674"/>
        <n v="954"/>
        <n v="849"/>
        <n v="1474"/>
        <n v="723"/>
        <n v="2689"/>
        <n v="2232"/>
        <n v="1500"/>
        <n v="2980"/>
        <n v="940"/>
        <n v="1480"/>
        <n v="2282"/>
        <n v="2307"/>
        <n v="8740"/>
        <n v="5200"/>
        <n v="6829"/>
        <n v="10748"/>
        <n v="1448"/>
        <n v="2000"/>
        <n v="16440"/>
        <n v="14907"/>
        <n v="990"/>
        <n v="8639"/>
        <n v="14521"/>
        <n v="14998"/>
        <n v="2540"/>
        <n v="16009"/>
        <n v="23194"/>
        <n v="6791"/>
        <n v="2357"/>
        <n v="868"/>
        <n v="1008"/>
        <n v="1860"/>
        <n v="426"/>
        <n v="400"/>
        <n v="20"/>
        <n v="5720"/>
        <n v="6515"/>
        <n v="984"/>
        <n v="1794"/>
        <n v="3472"/>
        <n v="300"/>
        <n v="5051"/>
        <n v="33"/>
        <n v="7"/>
        <n v="311"/>
        <n v="684"/>
        <n v="3565"/>
        <n v="302"/>
        <n v="398"/>
        <n v="54"/>
        <n v="1597"/>
        <n v="340"/>
        <n v="46"/>
        <n v="774"/>
        <n v="115"/>
        <n v="504"/>
      </sharedItems>
    </cacheField>
    <cacheField name="开票数量" numFmtId="0">
      <sharedItems containsSemiMixedTypes="0" containsString="0" containsNumber="1" containsInteger="1" minValue="0" maxValue="14680" count="24">
        <n v="0"/>
        <n v="4281"/>
        <n v="811"/>
        <n v="864"/>
        <n v="1490"/>
        <n v="723"/>
        <n v="2689"/>
        <n v="2232"/>
        <n v="2282"/>
        <n v="2307"/>
        <n v="6832"/>
        <n v="6829"/>
        <n v="990"/>
        <n v="696"/>
        <n v="3385"/>
        <n v="5544"/>
        <n v="14680"/>
        <n v="631"/>
        <n v="1860"/>
        <n v="426"/>
        <n v="5720"/>
        <n v="415"/>
        <n v="362"/>
        <n v="3565"/>
      </sharedItems>
    </cacheField>
    <cacheField name="未交清数量" numFmtId="0">
      <sharedItems containsSemiMixedTypes="0" containsString="0" containsNumber="1" containsInteger="1" minValue="0" maxValue="57000" count="293">
        <n v="1000"/>
        <n v="800"/>
        <n v="1700"/>
        <n v="1100"/>
        <n v="6600"/>
        <n v="6200"/>
        <n v="3000"/>
        <n v="4000"/>
        <n v="1800"/>
        <n v="2200"/>
        <n v="5800"/>
        <n v="6000"/>
        <n v="4300"/>
        <n v="4600"/>
        <n v="2400"/>
        <n v="2100"/>
        <n v="5300"/>
        <n v="5600"/>
        <n v="5200"/>
        <n v="5000"/>
        <n v="1200"/>
        <n v="3100"/>
        <n v="1300"/>
        <n v="5500"/>
        <n v="4100"/>
        <n v="3200"/>
        <n v="4500"/>
        <n v="2000"/>
        <n v="2300"/>
        <n v="3700"/>
        <n v="3500"/>
        <n v="4400"/>
        <n v="1500"/>
        <n v="3800"/>
        <n v="5450"/>
        <n v="1620"/>
        <n v="700"/>
        <n v="396"/>
        <n v="750"/>
        <n v="1250"/>
        <n v="625"/>
        <n v="13800"/>
        <n v="11500"/>
        <n v="400"/>
        <n v="2500"/>
        <n v="650"/>
        <n v="1950"/>
        <n v="12500"/>
        <n v="11300"/>
        <n v="3400"/>
        <n v="4480"/>
        <n v="1011"/>
        <n v="833"/>
        <n v="600"/>
        <n v="300"/>
        <n v="7500"/>
        <n v="3900"/>
        <n v="11200"/>
        <n v="420"/>
        <n v="780"/>
        <n v="6700"/>
        <n v="960"/>
        <n v="1600"/>
        <n v="1400"/>
        <n v="10000"/>
        <n v="7981"/>
        <n v="1948"/>
        <n v="3558"/>
        <n v="5700"/>
        <n v="9000"/>
        <n v="7400"/>
        <n v="7000"/>
        <n v="500"/>
        <n v="200"/>
        <n v="6400"/>
        <n v="3300"/>
        <n v="3360"/>
        <n v="2408"/>
        <n v="1450"/>
        <n v="1797"/>
        <n v="16800"/>
        <n v="15286"/>
        <n v="14934"/>
        <n v="17423"/>
        <n v="579"/>
        <n v="2560"/>
        <n v="3818"/>
        <n v="1900"/>
        <n v="3356"/>
        <n v="19"/>
        <n v="2620"/>
        <n v="1853"/>
        <n v="4378"/>
        <n v="209"/>
        <n v="1222"/>
        <n v="2480"/>
        <n v="2680"/>
        <n v="1041"/>
        <n v="4700"/>
        <n v="957"/>
        <n v="68"/>
        <n v="2901"/>
        <n v="1840"/>
        <n v="2800"/>
        <n v="900"/>
        <n v="6300"/>
        <n v="7800"/>
        <n v="5689"/>
        <n v="15912"/>
        <n v="3934"/>
        <n v="21000"/>
        <n v="4372"/>
        <n v="13000"/>
        <n v="5556"/>
        <n v="226"/>
        <n v="46"/>
        <n v="151"/>
        <n v="426"/>
        <n v="677"/>
        <n v="311"/>
        <n v="268"/>
        <n v="550"/>
        <n v="1550"/>
        <n v="7020"/>
        <n v="11000"/>
        <n v="4060"/>
        <n v="2520"/>
        <n v="487"/>
        <n v="493"/>
        <n v="1260"/>
        <n v="8334"/>
        <n v="2014"/>
        <n v="12000"/>
        <n v="189"/>
        <n v="190"/>
        <n v="10500"/>
        <n v="2016"/>
        <n v="3171"/>
        <n v="590"/>
        <n v="2372"/>
        <n v="5184"/>
        <n v="1295"/>
        <n v="12733"/>
        <n v="1985"/>
        <n v="8200"/>
        <n v="10800"/>
        <n v="3050"/>
        <n v="1106"/>
        <n v="16000"/>
        <n v="57000"/>
        <n v="38000"/>
        <n v="19000"/>
        <n v="50000"/>
        <n v="17600"/>
        <n v="100"/>
        <n v="6500"/>
        <n v="10600"/>
        <n v="8300"/>
        <n v="552"/>
        <n v="24000"/>
        <n v="33560"/>
        <n v="30000"/>
        <n v="32000"/>
        <n v="22000"/>
        <n v="23000"/>
        <n v="7200"/>
        <n v="4800"/>
        <n v="9200"/>
        <n v="2600"/>
        <n v="6093"/>
        <n v="20000"/>
        <n v="10"/>
        <n v="2961"/>
        <n v="18879"/>
        <n v="5002"/>
        <n v="4660"/>
        <n v="6991"/>
        <n v="11400"/>
        <n v="12400"/>
        <n v="126"/>
        <n v="2900"/>
        <n v="4900"/>
        <n v="5400"/>
        <n v="109"/>
        <n v="5100"/>
        <n v="3043"/>
        <n v="2232"/>
        <n v="792"/>
        <n v="440"/>
        <n v="574"/>
        <n v="2980"/>
        <n v="355"/>
        <n v="13485"/>
        <n v="9100"/>
        <n v="8000"/>
        <n v="16"/>
        <n v="3206"/>
        <n v="6528"/>
        <n v="4949"/>
        <n v="2456"/>
        <n v="551"/>
        <n v="22"/>
        <n v="204"/>
        <n v="301"/>
        <n v="738"/>
        <n v="405"/>
        <n v="388"/>
        <n v="739"/>
        <n v="504"/>
        <n v="3435"/>
        <n v="241"/>
        <n v="294"/>
        <n v="244"/>
        <n v="463"/>
        <n v="280"/>
        <n v="203"/>
        <n v="306"/>
        <n v="864"/>
        <n v="90"/>
        <n v="96"/>
        <n v="567"/>
        <n v="2565"/>
        <n v="3179"/>
        <n v="816"/>
        <n v="1982"/>
        <n v="146"/>
        <n v="56"/>
        <n v="21"/>
        <n v="61"/>
        <n v="41"/>
        <n v="89"/>
        <n v="147"/>
        <n v="635"/>
        <n v="95"/>
        <n v="1651"/>
        <n v="1548"/>
        <n v="326"/>
        <n v="943"/>
        <n v="1035"/>
        <n v="94"/>
        <n v="53"/>
        <n v="20"/>
        <n v="651"/>
        <n v="215"/>
        <n v="159"/>
        <n v="8"/>
        <n v="2764"/>
        <n v="1036"/>
        <n v="2071"/>
        <n v="1307"/>
        <n v="2364"/>
        <n v="4076"/>
        <n v="2606"/>
        <n v="1"/>
        <n v="1535"/>
        <n v="1882"/>
        <n v="13"/>
        <n v="206"/>
        <n v="756"/>
        <n v="17"/>
        <n v="1016"/>
        <n v="641"/>
        <n v="382"/>
        <n v="1072"/>
        <n v="518"/>
        <n v="626"/>
        <n v="1497"/>
        <n v="42"/>
        <n v="102"/>
        <n v="2072"/>
        <n v="194"/>
        <n v="783"/>
        <n v="12"/>
        <n v="281"/>
        <n v="740"/>
        <n v="62"/>
        <n v="116"/>
        <n v="687"/>
        <n v="786"/>
        <n v="761"/>
        <n v="559"/>
        <n v="502"/>
        <n v="2614"/>
        <n v="2588"/>
        <n v="725"/>
        <n v="1404"/>
        <n v="195"/>
        <n v="2218"/>
        <n v="505"/>
        <n v="2070"/>
        <n v="482"/>
        <n v="1277"/>
        <n v="3764"/>
      </sharedItems>
    </cacheField>
    <cacheField name="最终未交清数量" numFmtId="0">
      <sharedItems containsSemiMixedTypes="0" containsString="0" containsNumber="1" containsInteger="1" minValue="0" maxValue="57000" count="292">
        <n v="1000"/>
        <n v="800"/>
        <n v="1700"/>
        <n v="1100"/>
        <n v="6600"/>
        <n v="6200"/>
        <n v="3000"/>
        <n v="4000"/>
        <n v="1800"/>
        <n v="2200"/>
        <n v="5800"/>
        <n v="6000"/>
        <n v="4300"/>
        <n v="4600"/>
        <n v="2400"/>
        <n v="2100"/>
        <n v="5300"/>
        <n v="5600"/>
        <n v="5200"/>
        <n v="5000"/>
        <n v="1200"/>
        <n v="3100"/>
        <n v="1300"/>
        <n v="5500"/>
        <n v="4100"/>
        <n v="3200"/>
        <n v="4500"/>
        <n v="2000"/>
        <n v="2300"/>
        <n v="3700"/>
        <n v="3500"/>
        <n v="4400"/>
        <n v="1500"/>
        <n v="3800"/>
        <n v="5450"/>
        <n v="1620"/>
        <n v="700"/>
        <n v="396"/>
        <n v="750"/>
        <n v="1250"/>
        <n v="625"/>
        <n v="13800"/>
        <n v="11500"/>
        <n v="400"/>
        <n v="2500"/>
        <n v="650"/>
        <n v="1950"/>
        <n v="12500"/>
        <n v="11300"/>
        <n v="3400"/>
        <n v="4480"/>
        <n v="1011"/>
        <n v="833"/>
        <n v="600"/>
        <n v="300"/>
        <n v="7500"/>
        <n v="3900"/>
        <n v="11200"/>
        <n v="420"/>
        <n v="780"/>
        <n v="6700"/>
        <n v="1940"/>
        <n v="0"/>
        <n v="1600"/>
        <n v="1400"/>
        <n v="10000"/>
        <n v="7981"/>
        <n v="1948"/>
        <n v="3558"/>
        <n v="5700"/>
        <n v="9000"/>
        <n v="7400"/>
        <n v="7000"/>
        <n v="500"/>
        <n v="200"/>
        <n v="6400"/>
        <n v="3300"/>
        <n v="3360"/>
        <n v="2408"/>
        <n v="1450"/>
        <n v="969"/>
        <n v="16800"/>
        <n v="15286"/>
        <n v="14934"/>
        <n v="17423"/>
        <n v="579"/>
        <n v="2560"/>
        <n v="3818"/>
        <n v="1900"/>
        <n v="3356"/>
        <n v="19"/>
        <n v="2620"/>
        <n v="1853"/>
        <n v="4378"/>
        <n v="209"/>
        <n v="382"/>
        <n v="2480"/>
        <n v="2680"/>
        <n v="1041"/>
        <n v="4700"/>
        <n v="957"/>
        <n v="68"/>
        <n v="2901"/>
        <n v="1840"/>
        <n v="2800"/>
        <n v="900"/>
        <n v="6300"/>
        <n v="7800"/>
        <n v="5689"/>
        <n v="15912"/>
        <n v="3934"/>
        <n v="21000"/>
        <n v="4372"/>
        <n v="13000"/>
        <n v="5556"/>
        <n v="226"/>
        <n v="46"/>
        <n v="151"/>
        <n v="426"/>
        <n v="677"/>
        <n v="311"/>
        <n v="268"/>
        <n v="550"/>
        <n v="1550"/>
        <n v="7020"/>
        <n v="11000"/>
        <n v="4060"/>
        <n v="2520"/>
        <n v="487"/>
        <n v="493"/>
        <n v="1260"/>
        <n v="8334"/>
        <n v="2014"/>
        <n v="12000"/>
        <n v="189"/>
        <n v="190"/>
        <n v="10500"/>
        <n v="2016"/>
        <n v="3171"/>
        <n v="590"/>
        <n v="2372"/>
        <n v="5184"/>
        <n v="1295"/>
        <n v="12733"/>
        <n v="1985"/>
        <n v="8200"/>
        <n v="10800"/>
        <n v="3050"/>
        <n v="1106"/>
        <n v="16000"/>
        <n v="57000"/>
        <n v="38000"/>
        <n v="19000"/>
        <n v="50000"/>
        <n v="17600"/>
        <n v="100"/>
        <n v="6500"/>
        <n v="10600"/>
        <n v="8300"/>
        <n v="552"/>
        <n v="24000"/>
        <n v="33560"/>
        <n v="30000"/>
        <n v="32000"/>
        <n v="22000"/>
        <n v="23000"/>
        <n v="7200"/>
        <n v="4800"/>
        <n v="9200"/>
        <n v="2600"/>
        <n v="6093"/>
        <n v="20000"/>
        <n v="10"/>
        <n v="2956"/>
        <n v="18879"/>
        <n v="3542"/>
        <n v="5291"/>
        <n v="11400"/>
        <n v="12400"/>
        <n v="86"/>
        <n v="2900"/>
        <n v="4900"/>
        <n v="5400"/>
        <n v="109"/>
        <n v="5100"/>
        <n v="3043"/>
        <n v="2232"/>
        <n v="792"/>
        <n v="440"/>
        <n v="574"/>
        <n v="2980"/>
        <n v="13485"/>
        <n v="9100"/>
        <n v="8000"/>
        <n v="2135"/>
        <n v="16"/>
        <n v="3206"/>
        <n v="6528"/>
        <n v="2559"/>
        <n v="2456"/>
        <n v="551"/>
        <n v="22"/>
        <n v="204"/>
        <n v="301"/>
        <n v="738"/>
        <n v="405"/>
        <n v="388"/>
        <n v="739"/>
        <n v="504"/>
        <n v="3435"/>
        <n v="241"/>
        <n v="294"/>
        <n v="244"/>
        <n v="463"/>
        <n v="280"/>
        <n v="203"/>
        <n v="306"/>
        <n v="864"/>
        <n v="90"/>
        <n v="96"/>
        <n v="567"/>
        <n v="2565"/>
        <n v="3179"/>
        <n v="816"/>
        <n v="1982"/>
        <n v="146"/>
        <n v="56"/>
        <n v="21"/>
        <n v="61"/>
        <n v="41"/>
        <n v="89"/>
        <n v="147"/>
        <n v="635"/>
        <n v="95"/>
        <n v="1651"/>
        <n v="1548"/>
        <n v="326"/>
        <n v="943"/>
        <n v="1035"/>
        <n v="94"/>
        <n v="53"/>
        <n v="20"/>
        <n v="651"/>
        <n v="215"/>
        <n v="159"/>
        <n v="8"/>
        <n v="2764"/>
        <n v="1036"/>
        <n v="2071"/>
        <n v="1307"/>
        <n v="2364"/>
        <n v="4076"/>
        <n v="2606"/>
        <n v="1"/>
        <n v="1535"/>
        <n v="1882"/>
        <n v="13"/>
        <n v="206"/>
        <n v="756"/>
        <n v="17"/>
        <n v="1016"/>
        <n v="641"/>
        <n v="1072"/>
        <n v="518"/>
        <n v="626"/>
        <n v="1497"/>
        <n v="42"/>
        <n v="102"/>
        <n v="2072"/>
        <n v="194"/>
        <n v="783"/>
        <n v="12"/>
        <n v="281"/>
        <n v="740"/>
        <n v="62"/>
        <n v="116"/>
        <n v="687"/>
        <n v="786"/>
        <n v="761"/>
        <n v="559"/>
        <n v="502"/>
        <n v="2614"/>
        <n v="2588"/>
        <n v="725"/>
        <n v="1404"/>
        <n v="195"/>
        <n v="2218"/>
        <n v="505"/>
        <n v="2070"/>
        <n v="482"/>
        <n v="1277"/>
        <n v="3764"/>
      </sharedItems>
    </cacheField>
    <cacheField name="生产退货数量" numFmtId="0">
      <sharedItems containsSemiMixedTypes="0" containsString="0" containsNumber="1" containsInteger="1" minValue="0" maxValue="0" count="1">
        <n v="0"/>
      </sharedItems>
    </cacheField>
    <cacheField name="采购申请号" numFmtId="0">
      <sharedItems containsString="0" containsBlank="1" containsNumber="1" containsInteger="1" minValue="0" maxValue="51000121072354" count="28">
        <m/>
        <n v="51000121062670"/>
        <n v="51000121063475"/>
        <n v="51000121031853"/>
        <n v="51000121033451"/>
        <n v="51000121040604"/>
        <n v="51000121041189"/>
        <n v="51000121043650"/>
        <n v="51000121050197"/>
        <n v="51000121051692"/>
        <n v="51000121052989"/>
        <n v="51000121053800"/>
        <n v="51000121054237"/>
        <n v="51000121055045"/>
        <n v="51000121055562"/>
        <n v="51000121055703"/>
        <n v="51000121060675"/>
        <n v="51000121061028"/>
        <n v="51000121061195"/>
        <n v="51000121061597"/>
        <n v="51000121061874"/>
        <n v="51000121063059"/>
        <n v="51000121063788"/>
        <n v="51000121070558"/>
        <n v="51000121070845"/>
        <n v="51000121071777"/>
        <n v="51000121072085"/>
        <n v="51000121072354"/>
      </sharedItems>
    </cacheField>
    <cacheField name="采购申请人" numFmtId="0">
      <sharedItems containsBlank="1" count="2">
        <m/>
        <s v="韦健锋,"/>
      </sharedItems>
    </cacheField>
    <cacheField name="客户PO" numFmtId="0">
      <sharedItems containsString="0" containsBlank="1" containsNonDate="0" count="1">
        <m/>
      </sharedItems>
    </cacheField>
    <cacheField name="运输方式" numFmtId="0">
      <sharedItems containsString="0" containsBlank="1" containsNonDate="0" count="1">
        <m/>
      </sharedItems>
    </cacheField>
    <cacheField name="最后暂收时间" numFmtId="0">
      <sharedItems containsString="0" containsBlank="1" containsDate="1" containsMixedTypes="1" count="33">
        <m/>
        <n v="44372"/>
        <n v="44377"/>
        <n v="44392"/>
        <d v="2021-07-15T00:00:00"/>
        <n v="44358"/>
        <n v="44379"/>
        <n v="44386"/>
        <n v="44365"/>
        <n v="44342"/>
        <n v="44363"/>
        <n v="44385"/>
        <n v="44388"/>
        <n v="44390"/>
        <n v="44382"/>
        <n v="44366"/>
        <n v="44384"/>
        <n v="44344"/>
        <n v="44391"/>
        <n v="44340"/>
        <n v="44355"/>
        <n v="44371"/>
        <n v="44389"/>
        <n v="44364"/>
        <d v="2021-07-14T00:00:00"/>
        <n v="44393"/>
        <d v="2021-07-16T00:00:00"/>
        <n v="44373"/>
        <n v="44383"/>
        <n v="44369"/>
        <n v="44321"/>
        <n v="44387"/>
        <n v="44347"/>
      </sharedItems>
    </cacheField>
    <cacheField name="最后入库时间" numFmtId="0">
      <sharedItems containsString="0" containsBlank="1" containsDate="1" containsMixedTypes="1" count="35">
        <m/>
        <n v="44372"/>
        <n v="44380"/>
        <d v="2021-07-13T00:00:00"/>
        <n v="44358"/>
        <n v="44392"/>
        <n v="44387"/>
        <d v="2021-07-15T00:00:00"/>
        <n v="44366"/>
        <n v="44343"/>
        <n v="44364"/>
        <n v="44386"/>
        <n v="44390"/>
        <n v="44391"/>
        <n v="44382"/>
        <n v="44367"/>
        <n v="44385"/>
        <n v="44345"/>
        <n v="44340"/>
        <n v="44356"/>
        <n v="44377"/>
        <n v="44389"/>
        <n v="44383"/>
        <n v="44388"/>
        <d v="2021-07-11T00:00:00"/>
        <d v="2021-07-05T00:00:00"/>
        <n v="44371"/>
        <n v="44374"/>
        <d v="2021-06-27T00:00:00"/>
        <n v="44393"/>
        <n v="44369"/>
        <n v="44342"/>
        <n v="44363"/>
        <n v="44321"/>
        <n v="44347"/>
      </sharedItems>
    </cacheField>
    <cacheField name="币种" numFmtId="0">
      <sharedItems count="1">
        <s v="CNY"/>
      </sharedItems>
    </cacheField>
    <cacheField name="组装部门" numFmtId="0">
      <sharedItems containsString="0" containsBlank="1" containsNonDate="0" count="1">
        <m/>
      </sharedItems>
    </cacheField>
    <cacheField name="生产部门" numFmtId="0">
      <sharedItems containsString="0" containsBlank="1" containsNonDate="0" count="1">
        <m/>
      </sharedItems>
    </cacheField>
    <cacheField name="旧料号" numFmtId="0">
      <sharedItems containsString="0" containsBlank="1" containsNonDate="0" count="1">
        <m/>
      </sharedItems>
    </cacheField>
    <cacheField name="接收子库代码" numFmtId="0">
      <sharedItems containsString="0" containsBlank="1" containsNonDate="0" count="1">
        <m/>
      </sharedItems>
    </cacheField>
    <cacheField name="接收子库名称" numFmtId="0">
      <sharedItems containsString="0" containsBlank="1" containsNonDate="0" count="1">
        <m/>
      </sharedItems>
    </cacheField>
    <cacheField name="加工要求（备注）" numFmtId="0">
      <sharedItems containsString="0" containsBlank="1" containsNonDate="0" count="1">
        <m/>
      </sharedItems>
    </cacheField>
    <cacheField name="关闭状态" numFmtId="0">
      <sharedItems count="1">
        <s v="打开"/>
      </sharedItems>
    </cacheField>
    <cacheField name="收货组织" numFmtId="0">
      <sharedItems count="3">
        <s v="珠海承鸥地址"/>
        <s v="广州海鸥"/>
        <s v="广州海鸥GF"/>
      </sharedItems>
    </cacheField>
    <cacheField name="供应商地点" numFmtId="0">
      <sharedItems count="3">
        <s v="开平市"/>
        <s v="开平"/>
        <s v="广州"/>
      </sharedItems>
    </cacheField>
    <cacheField name="税率" numFmtId="0">
      <sharedItems containsSemiMixedTypes="0" containsString="0" containsNumber="1" minValue="0" maxValue="0.13" count="1">
        <n v="0.13"/>
      </sharedItems>
    </cacheField>
    <cacheField name="采购单别" numFmtId="0">
      <sharedItems count="4">
        <s v="配件类"/>
        <s v="原材料"/>
        <s v="海鸥原材料"/>
        <s v="整组原材料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393.6618055556" refreshedBy="xuehua.li" recordCount="437">
  <cacheSource type="worksheet">
    <worksheetSource ref="A2:P439" sheet="7月入仓清单"/>
  </cacheSource>
  <cacheFields count="16">
    <cacheField name="序号" numFmtId="0">
      <sharedItems containsSemiMixedTypes="0" containsString="0" containsNumber="1" containsInteger="1" minValue="0" maxValue="6351" count="433">
        <n v="36"/>
        <n v="37"/>
        <n v="38"/>
        <n v="39"/>
        <n v="659"/>
        <n v="660"/>
        <n v="661"/>
        <n v="662"/>
        <n v="663"/>
        <n v="664"/>
        <n v="665"/>
        <n v="666"/>
        <n v="667"/>
        <n v="668"/>
        <n v="670"/>
        <n v="671"/>
        <n v="672"/>
        <n v="725"/>
        <n v="726"/>
        <n v="729"/>
        <n v="730"/>
        <n v="798"/>
        <n v="799"/>
        <n v="800"/>
        <n v="801"/>
        <n v="802"/>
        <n v="804"/>
        <n v="934"/>
        <n v="935"/>
        <n v="936"/>
        <n v="937"/>
        <n v="938"/>
        <n v="939"/>
        <n v="940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9"/>
        <n v="1400"/>
        <n v="1401"/>
        <n v="1402"/>
        <n v="1403"/>
        <n v="1404"/>
        <n v="1405"/>
        <n v="1971"/>
        <n v="1972"/>
        <n v="1973"/>
        <n v="1974"/>
        <n v="1975"/>
        <n v="1976"/>
        <n v="1977"/>
        <n v="2169"/>
        <n v="2170"/>
        <n v="2239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419"/>
        <n v="2420"/>
        <n v="2421"/>
        <n v="2422"/>
        <n v="2423"/>
        <n v="2424"/>
        <n v="2430"/>
        <n v="2431"/>
        <n v="2432"/>
        <n v="2433"/>
        <n v="2434"/>
        <n v="2435"/>
        <n v="2446"/>
        <n v="2447"/>
        <n v="2448"/>
        <n v="2449"/>
        <n v="2455"/>
        <n v="2456"/>
        <n v="2457"/>
        <n v="2458"/>
        <n v="2466"/>
        <n v="2467"/>
        <n v="2468"/>
        <n v="2469"/>
        <n v="2470"/>
        <n v="2471"/>
        <n v="2472"/>
        <n v="2473"/>
        <n v="2474"/>
        <n v="2475"/>
        <n v="2641"/>
        <n v="2642"/>
        <n v="2643"/>
        <n v="2644"/>
        <n v="2764"/>
        <n v="2765"/>
        <n v="2766"/>
        <n v="2767"/>
        <n v="2768"/>
        <n v="2769"/>
        <n v="2770"/>
        <n v="2928"/>
        <n v="3144"/>
        <n v="3145"/>
        <n v="3268"/>
        <n v="3381"/>
        <n v="3382"/>
        <n v="3383"/>
        <n v="3384"/>
        <n v="3385"/>
        <n v="3386"/>
        <n v="3387"/>
        <n v="3388"/>
        <n v="3389"/>
        <n v="3532"/>
        <n v="3533"/>
        <n v="3534"/>
        <n v="3536"/>
        <n v="3537"/>
        <n v="3538"/>
        <n v="3539"/>
        <n v="3540"/>
        <n v="3550"/>
        <n v="3551"/>
        <n v="3562"/>
        <n v="3563"/>
        <n v="3564"/>
        <n v="3565"/>
        <n v="3566"/>
        <n v="3567"/>
        <n v="3568"/>
        <n v="3569"/>
        <n v="3570"/>
        <n v="3921"/>
        <n v="3922"/>
        <n v="4087"/>
        <n v="4100"/>
        <n v="4101"/>
        <n v="4102"/>
        <n v="4103"/>
        <n v="4104"/>
        <n v="4105"/>
        <n v="4106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54"/>
        <n v="4155"/>
        <n v="4236"/>
        <n v="4346"/>
        <n v="4347"/>
        <n v="4493"/>
        <n v="4494"/>
        <n v="4495"/>
        <n v="4496"/>
        <n v="4497"/>
        <n v="4498"/>
        <n v="4499"/>
        <n v="4500"/>
        <n v="4501"/>
        <n v="4502"/>
        <n v="4503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5000"/>
        <n v="5009"/>
        <n v="5010"/>
        <n v="5011"/>
        <n v="5012"/>
        <n v="5013"/>
        <n v="5014"/>
        <n v="5073"/>
        <n v="5074"/>
        <n v="5103"/>
        <n v="5144"/>
        <n v="5386"/>
        <n v="5793"/>
        <n v="5795"/>
        <n v="5796"/>
        <n v="5797"/>
        <n v="5798"/>
        <n v="6147"/>
        <n v="6148"/>
        <n v="6196"/>
        <n v="6197"/>
        <n v="6198"/>
        <n v="6199"/>
        <n v="6200"/>
        <n v="6201"/>
        <n v="6258"/>
        <n v="6259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344"/>
        <n v="6345"/>
        <n v="6349"/>
        <n v="6350"/>
        <n v="6351"/>
        <n v="85"/>
        <n v="86"/>
        <n v="87"/>
        <n v="88"/>
        <n v="89"/>
        <n v="90"/>
        <n v="157"/>
        <n v="521"/>
        <n v="522"/>
        <n v="523"/>
        <n v="524"/>
        <n v="527"/>
        <n v="534"/>
        <n v="575"/>
        <n v="576"/>
        <n v="577"/>
        <n v="950"/>
        <n v="961"/>
        <n v="962"/>
        <n v="963"/>
        <n v="964"/>
        <n v="965"/>
        <n v="966"/>
        <n v="1181"/>
        <n v="1182"/>
        <n v="1183"/>
        <n v="1188"/>
        <n v="1189"/>
        <n v="1329"/>
        <n v="1330"/>
        <n v="1331"/>
        <n v="1542"/>
        <n v="1543"/>
        <n v="1544"/>
        <n v="1662"/>
        <n v="1663"/>
        <n v="1664"/>
        <n v="1665"/>
        <n v="1666"/>
        <n v="1739"/>
        <n v="1740"/>
        <n v="1741"/>
        <n v="1742"/>
        <n v="2001"/>
        <n v="2041"/>
        <n v="2042"/>
        <n v="2043"/>
        <n v="2044"/>
        <n v="2045"/>
        <n v="2046"/>
        <n v="2175"/>
        <n v="2176"/>
        <n v="2177"/>
        <n v="2178"/>
        <n v="2179"/>
        <n v="2180"/>
        <n v="2240"/>
        <n v="2241"/>
        <n v="2242"/>
        <n v="2486"/>
        <n v="2487"/>
        <n v="2488"/>
        <n v="2489"/>
        <n v="2490"/>
        <n v="2491"/>
        <n v="2608"/>
        <n v="2609"/>
        <n v="2653"/>
        <n v="2654"/>
        <n v="2655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844"/>
        <n v="2845"/>
        <n v="2846"/>
        <n v="2847"/>
        <n v="2872"/>
        <n v="2873"/>
        <n v="2874"/>
        <n v="2875"/>
        <n v="2876"/>
        <n v="2877"/>
        <n v="2878"/>
        <n v="2879"/>
        <n v="3008"/>
        <n v="3185"/>
        <n v="3207"/>
        <n v="3208"/>
        <n v="3209"/>
        <n v="3210"/>
        <n v="3211"/>
        <n v="3212"/>
        <n v="3213"/>
        <n v="3214"/>
        <n v="3218"/>
        <n v="3345"/>
        <n v="3346"/>
        <n v="3347"/>
        <n v="3348"/>
        <n v="3349"/>
        <n v="3350"/>
        <n v="3351"/>
        <n v="3352"/>
        <n v="3355"/>
        <n v="3356"/>
        <n v="3357"/>
        <n v="3358"/>
        <n v="3359"/>
        <n v="3360"/>
        <n v="3361"/>
        <n v="3362"/>
        <n v="3363"/>
        <n v="3571"/>
        <n v="3574"/>
        <n v="3575"/>
        <n v="3576"/>
        <n v="3577"/>
        <n v="3578"/>
        <n v="3579"/>
        <n v="3582"/>
        <n v="3583"/>
        <n v="3584"/>
        <n v="3585"/>
        <n v="3586"/>
        <n v="3811"/>
        <n v="3812"/>
        <n v="3863"/>
        <n v="3864"/>
        <n v="3865"/>
        <n v="3866"/>
        <n v="3867"/>
        <n v="3868"/>
        <n v="4159"/>
        <n v="4160"/>
        <n v="4164"/>
        <n v="4165"/>
        <n v="4166"/>
        <n v="4191"/>
        <n v="4192"/>
        <n v="4199"/>
        <n v="4200"/>
        <n v="4201"/>
        <n v="4204"/>
        <n v="4205"/>
        <n v="4206"/>
        <n v="4207"/>
        <n v="4208"/>
        <n v="4209"/>
        <n v="4210"/>
        <n v="4211"/>
        <n v="4212"/>
        <n v="4213"/>
        <n v="4214"/>
        <n v="4215"/>
      </sharedItems>
    </cacheField>
    <cacheField name="业务实体" numFmtId="0">
      <sharedItems count="2">
        <s v="番禺"/>
        <s v="珠海"/>
      </sharedItems>
    </cacheField>
    <cacheField name="暂收日期" numFmtId="22">
      <sharedItems containsSemiMixedTypes="0" containsString="0" containsNonDate="0" containsDate="1" minDate="2021-07-01T09:37:24" maxDate="2021-07-16T08:42:27" count="177">
        <d v="2021-07-01T09:37:24"/>
        <d v="2021-07-07T18:52:57"/>
        <d v="2021-07-07T18:53:10"/>
        <d v="2021-07-07T18:53:11"/>
        <d v="2021-07-07T18:53:12"/>
        <d v="2021-07-07T18:53:17"/>
        <d v="2021-07-10T10:29:41"/>
        <d v="2021-07-12T18:51:25"/>
        <d v="2021-07-15T14:21:29"/>
        <d v="2021-07-15T14:21:30"/>
        <d v="2021-07-15T14:21:31"/>
        <d v="2021-07-15T14:21:37"/>
        <d v="2021-07-15T14:21:36"/>
        <d v="2021-07-14T08:48:22"/>
        <d v="2021-07-14T08:48:23"/>
        <d v="2021-07-14T08:48:40"/>
        <d v="2021-07-14T08:48:41"/>
        <d v="2021-07-14T08:48:48"/>
        <d v="2021-07-15T14:22:05"/>
        <d v="2021-07-15T14:22:06"/>
        <d v="2021-07-15T14:22:07"/>
        <d v="2021-07-02T16:49:35"/>
        <d v="2021-07-02T16:49:36"/>
        <d v="2021-07-16T08:42:27"/>
        <d v="2021-07-02T16:50:34"/>
        <d v="2021-07-09T08:33:35"/>
        <d v="2021-07-09T08:33:45"/>
        <d v="2021-07-09T08:33:46"/>
        <d v="2021-07-09T15:22:36"/>
        <d v="2021-07-09T15:22:50"/>
        <d v="2021-07-09T15:22:51"/>
        <d v="2021-07-11T08:54:56"/>
        <d v="2021-07-11T09:27:09"/>
        <d v="2021-07-11T09:25:44"/>
        <d v="2021-07-13T09:42:07"/>
        <d v="2021-07-13T09:42:08"/>
        <d v="2021-07-13T09:42:21"/>
        <d v="2021-07-13T09:42:22"/>
        <d v="2021-07-13T09:42:29"/>
        <d v="2021-07-02T21:05:49"/>
        <d v="2021-07-11T15:59:46"/>
        <d v="2021-07-02T10:15:22"/>
        <d v="2021-07-14T13:20:27"/>
        <d v="2021-07-13T14:48:00"/>
        <d v="2021-07-16T08:42:03"/>
        <d v="2021-07-16T08:42:09"/>
        <d v="2021-07-16T08:42:19"/>
        <d v="2021-07-16T08:42:20"/>
        <d v="2021-07-16T08:42:26"/>
        <d v="2021-07-13T14:13:48"/>
        <d v="2021-07-13T14:13:49"/>
        <d v="2021-07-13T14:13:51"/>
        <d v="2021-07-13T14:14:02"/>
        <d v="2021-07-13T14:14:03"/>
        <d v="2021-07-13T16:24:52"/>
        <d v="2021-07-09T08:33:47"/>
        <d v="2021-07-09T08:33:52"/>
        <d v="2021-07-09T08:33:53"/>
        <d v="2021-07-09T08:33:59"/>
        <d v="2021-07-07T08:07:35"/>
        <d v="2021-07-03T14:34:23"/>
        <d v="2021-07-05T19:53:40"/>
        <d v="2021-07-05T19:54:21"/>
        <d v="2021-07-05T19:54:22"/>
        <d v="2021-07-05T19:54:28"/>
        <d v="2021-07-05T19:54:29"/>
        <d v="2021-07-05T19:54:30"/>
        <d v="2021-07-05T19:54:36"/>
        <d v="2021-07-05T19:54:37"/>
        <d v="2021-07-05T19:54:43"/>
        <d v="2021-07-05T19:54:52"/>
        <d v="2021-07-05T19:54:53"/>
        <d v="2021-07-12T11:24:38"/>
        <d v="2021-07-03T11:10:46"/>
        <d v="2021-07-08T13:10:09"/>
        <d v="2021-07-08T13:10:27"/>
        <d v="2021-07-08T13:10:28"/>
        <d v="2021-07-01T18:39:31"/>
        <d v="2021-07-01T18:39:32"/>
        <d v="2021-07-01T18:39:47"/>
        <d v="2021-07-01T18:39:48"/>
        <d v="2021-07-01T18:39:49"/>
        <d v="2021-07-01T18:39:50"/>
        <d v="2021-07-01T18:39:56"/>
        <d v="2021-07-14T18:58:23"/>
        <d v="2021-07-14T18:58:50"/>
        <d v="2021-07-14T18:58:51"/>
        <d v="2021-07-14T18:58:52"/>
        <d v="2021-07-14T19:00:16"/>
        <d v="2021-07-14T19:00:17"/>
        <d v="2021-07-01T18:39:57"/>
        <d v="2021-07-07T08:25:33"/>
        <d v="2021-07-06T09:20:55"/>
        <d v="2021-07-10T19:10:42"/>
        <d v="2021-07-10T19:10:49"/>
        <d v="2021-07-10T19:10:53"/>
        <d v="2021-07-07T15:08:25"/>
        <d v="2021-07-09T10:57:55"/>
        <d v="2021-07-09T10:57:56"/>
        <d v="2021-07-06T13:20:08"/>
        <d v="2021-07-06T13:20:09"/>
        <d v="2021-07-06T13:20:21"/>
        <d v="2021-07-06T13:20:22"/>
        <d v="2021-07-06T13:20:23"/>
        <d v="2021-07-06T13:20:28"/>
        <d v="2021-07-09T10:53:03"/>
        <d v="2021-07-09T10:53:04"/>
        <d v="2021-07-10T19:10:54"/>
        <d v="2021-07-05T09:21:56"/>
        <d v="2021-07-10T18:40:34"/>
        <d v="2021-07-08T07:55:15"/>
        <d v="2021-07-08T07:55:42"/>
        <d v="2021-07-10T13:32:08"/>
        <d v="2021-07-10T13:32:09"/>
        <d v="2021-07-05T18:14:13"/>
        <d v="2021-07-05T18:14:17"/>
        <d v="2021-07-02T17:29:59"/>
        <d v="2021-07-02T17:30:00"/>
        <d v="2021-07-08T16:12:53"/>
        <d v="2021-07-05T13:05:27"/>
        <d v="2021-07-15T09:24:58"/>
        <d v="2021-07-15T09:24:59"/>
        <d v="2021-07-15T09:25:22"/>
        <d v="2021-07-03T11:24:39"/>
        <d v="2021-07-03T11:27:45"/>
        <d v="2021-07-13T19:32:20"/>
        <d v="2021-07-08T16:13:06"/>
        <d v="2021-07-03T11:23:23"/>
        <d v="2021-07-03T11:25:18"/>
        <d v="2021-07-09T23:05:53"/>
        <d v="2021-07-09T23:06:25"/>
        <d v="2021-07-09T23:06:59"/>
        <d v="2021-07-09T23:07:15"/>
        <d v="2021-07-15T22:01:30"/>
        <d v="2021-07-15T22:02:12"/>
        <d v="2021-07-12T17:43:30"/>
        <d v="2021-07-13T19:32:43"/>
        <d v="2021-07-14T15:25:29"/>
        <d v="2021-07-14T15:25:44"/>
        <d v="2021-07-14T15:25:45"/>
        <d v="2021-07-14T15:25:46"/>
        <d v="2021-07-14T15:25:47"/>
        <d v="2021-07-13T19:00:57"/>
        <d v="2021-07-13T19:32:07"/>
        <d v="2021-07-07T16:43:46"/>
        <d v="2021-07-03T14:18:15"/>
        <d v="2021-07-07T16:52:18"/>
        <d v="2021-07-07T16:52:55"/>
        <d v="2021-07-07T16:53:03"/>
        <d v="2021-07-07T16:53:11"/>
        <d v="2021-07-07T16:47:55"/>
        <d v="2021-07-13T17:17:41"/>
        <d v="2021-07-13T17:25:41"/>
        <d v="2021-07-13T17:10:48"/>
        <d v="2021-07-13T17:11:51"/>
        <d v="2021-07-13T17:11:52"/>
        <d v="2021-07-13T17:12:03"/>
        <d v="2021-07-13T17:12:36"/>
        <d v="2021-07-13T17:12:37"/>
        <d v="2021-07-10T13:30:28"/>
        <d v="2021-07-10T13:30:41"/>
        <d v="2021-07-12T17:07:49"/>
        <d v="2021-07-15T11:48:07"/>
        <d v="2021-07-15T11:48:08"/>
        <d v="2021-07-04T21:11:07"/>
        <d v="2021-07-09T09:50:15"/>
        <d v="2021-07-07T16:52:17"/>
        <d v="2021-07-10T14:06:47"/>
        <d v="2021-07-10T14:07:08"/>
        <d v="2021-07-10T14:07:11"/>
        <d v="2021-07-10T14:07:17"/>
        <d v="2021-07-10T14:07:18"/>
        <d v="2021-07-10T14:07:27"/>
        <d v="2021-07-10T14:07:28"/>
        <d v="2021-07-10T14:07:31"/>
        <d v="2021-07-10T14:07:32"/>
        <d v="2021-07-10T14:07:35"/>
      </sharedItems>
    </cacheField>
    <cacheField name="交货日期" numFmtId="22">
      <sharedItems containsSemiMixedTypes="0" containsString="0" containsNonDate="0" containsDate="1" minDate="2021-07-01T09:37:55" maxDate="2021-07-16T08:43:29" count="138">
        <d v="2021-07-01T09:37:55"/>
        <d v="2021-07-01T09:37:56"/>
        <d v="2021-07-01T09:37:57"/>
        <d v="2021-07-07T18:53:33"/>
        <d v="2021-07-07T18:53:34"/>
        <d v="2021-07-10T10:30:27"/>
        <d v="2021-07-10T10:30:28"/>
        <d v="2021-07-12T18:51:47"/>
        <d v="2021-07-12T18:51:48"/>
        <d v="2021-07-15T14:22:32"/>
        <d v="2021-07-15T14:22:33"/>
        <d v="2021-07-14T08:48:58"/>
        <d v="2021-07-14T08:48:59"/>
        <d v="2021-07-14T08:49:00"/>
        <d v="2021-07-15T14:22:34"/>
        <d v="2021-07-02T16:49:58"/>
        <d v="2021-07-02T16:49:59"/>
        <d v="2021-07-16T08:43:29"/>
        <d v="2021-07-02T16:50:41"/>
        <d v="2021-07-09T08:34:06"/>
        <d v="2021-07-09T08:34:07"/>
        <d v="2021-07-09T15:23:18"/>
        <d v="2021-07-09T15:23:19"/>
        <d v="2021-07-09T15:23:20"/>
        <d v="2021-07-11T08:55:22"/>
        <d v="2021-07-11T08:55:23"/>
        <d v="2021-07-11T09:27:27"/>
        <d v="2021-07-11T09:27:28"/>
        <d v="2021-07-11T09:26:00"/>
        <d v="2021-07-11T09:26:01"/>
        <d v="2021-07-13T09:42:37"/>
        <d v="2021-07-13T09:42:38"/>
        <d v="2021-07-13T09:42:39"/>
        <d v="2021-07-02T21:06:09"/>
        <d v="2021-07-02T21:06:10"/>
        <d v="2021-07-11T16:00:09"/>
        <d v="2021-07-11T16:00:10"/>
        <d v="2021-07-02T10:15:39"/>
        <d v="2021-07-14T13:20:40"/>
        <d v="2021-07-14T13:20:41"/>
        <d v="2021-07-13T14:48:37"/>
        <d v="2021-07-16T08:43:28"/>
        <d v="2021-07-13T14:14:38"/>
        <d v="2021-07-13T14:14:39"/>
        <d v="2021-07-13T16:25:54"/>
        <d v="2021-07-09T08:34:08"/>
        <d v="2021-07-07T08:07:55"/>
        <d v="2021-07-03T14:34:45"/>
        <d v="2021-07-05T19:55:10"/>
        <d v="2021-07-05T19:55:11"/>
        <d v="2021-07-05T19:55:13"/>
        <d v="2021-07-05T19:55:14"/>
        <d v="2021-07-05T19:55:15"/>
        <d v="2021-07-05T19:55:16"/>
        <d v="2021-07-12T11:25:20"/>
        <d v="2021-07-03T11:11:41"/>
        <d v="2021-07-08T13:11:24"/>
        <d v="2021-07-08T13:11:25"/>
        <d v="2021-07-01T18:40:11"/>
        <d v="2021-07-01T18:40:12"/>
        <d v="2021-07-01T18:40:13"/>
        <d v="2021-07-14T19:00:35"/>
        <d v="2021-07-14T19:00:36"/>
        <d v="2021-07-14T19:00:37"/>
        <d v="2021-07-14T19:00:43"/>
        <d v="2021-07-07T08:25:43"/>
        <d v="2021-07-06T09:21:14"/>
        <d v="2021-07-10T19:11:04"/>
        <d v="2021-07-10T19:11:05"/>
        <d v="2021-07-07T15:09:06"/>
        <d v="2021-07-09T10:58:22"/>
        <d v="2021-07-09T10:58:23"/>
        <d v="2021-07-06T13:20:38"/>
        <d v="2021-07-06T13:20:39"/>
        <d v="2021-07-06T13:20:40"/>
        <d v="2021-07-09T10:53:21"/>
        <d v="2021-07-05T09:22:36"/>
        <d v="2021-07-05T09:22:37"/>
        <d v="2021-07-10T18:41:12"/>
        <d v="2021-07-08T07:56:15"/>
        <d v="2021-07-08T07:56:16"/>
        <d v="2021-07-08T07:56:17"/>
        <d v="2021-07-10T13:32:31"/>
        <d v="2021-07-05T18:14:25"/>
        <d v="2021-07-05T18:14:50"/>
        <d v="2021-07-05T18:14:51"/>
        <d v="2021-07-02T17:30:47"/>
        <d v="2021-07-02T17:30:48"/>
        <d v="2021-07-02T17:30:14"/>
        <d v="2021-07-08T16:13:14"/>
        <d v="2021-07-08T16:13:15"/>
        <d v="2021-07-05T13:05:49"/>
        <d v="2021-07-15T09:25:27"/>
        <d v="2021-07-15T09:25:28"/>
        <d v="2021-07-03T11:24:59"/>
        <d v="2021-07-03T11:25:00"/>
        <d v="2021-07-03T11:27:52"/>
        <d v="2021-07-13T19:32:27"/>
        <d v="2021-07-03T11:23:42"/>
        <d v="2021-07-03T11:26:10"/>
        <d v="2021-07-09T23:06:06"/>
        <d v="2021-07-09T23:06:33"/>
        <d v="2021-07-09T23:07:06"/>
        <d v="2021-07-09T23:07:22"/>
        <d v="2021-07-15T22:02:39"/>
        <d v="2021-07-12T17:43:52"/>
        <d v="2021-07-13T19:32:57"/>
        <d v="2021-07-14T15:26:11"/>
        <d v="2021-07-14T15:26:12"/>
        <d v="2021-07-14T15:26:13"/>
        <d v="2021-07-13T19:01:23"/>
        <d v="2021-07-13T19:01:24"/>
        <d v="2021-07-13T19:32:26"/>
        <d v="2021-07-07T16:47:39"/>
        <d v="2021-07-03T14:18:33"/>
        <d v="2021-07-07T16:53:52"/>
        <d v="2021-07-07T16:53:53"/>
        <d v="2021-07-07T16:48:49"/>
        <d v="2021-07-13T17:17:54"/>
        <d v="2021-07-13T17:26:00"/>
        <d v="2021-07-13T17:26:01"/>
        <d v="2021-07-13T17:13:05"/>
        <d v="2021-07-13T17:13:06"/>
        <d v="2021-07-10T13:30:48"/>
        <d v="2021-07-10T13:30:49"/>
        <d v="2021-07-12T17:08:14"/>
        <d v="2021-07-15T11:48:24"/>
        <d v="2021-07-15T11:48:25"/>
        <d v="2021-07-04T21:11:35"/>
        <d v="2021-07-04T21:11:36"/>
        <d v="2021-07-09T09:50:25"/>
        <d v="2021-07-09T09:50:26"/>
        <d v="2021-07-07T16:52:45"/>
        <d v="2021-07-09T09:51:01"/>
        <d v="2021-07-09T09:51:02"/>
        <d v="2021-07-10T14:07:54"/>
        <d v="2021-07-10T14:07:55"/>
        <d v="2021-07-10T14:07:56"/>
      </sharedItems>
    </cacheField>
    <cacheField name="物料号" numFmtId="0">
      <sharedItems containsNumber="1" containsInteger="1" containsMixedTypes="1" count="91">
        <s v="6F251701NT"/>
        <s v="6F147401NT"/>
        <s v="6F231701NT"/>
        <s v="6F254401PN"/>
        <s v="6F052301MP"/>
        <s v="6F160401NT"/>
        <s v="6F134901NT"/>
        <s v="6F232101NT"/>
        <s v="6F232001NT"/>
        <s v="6F231801NT"/>
        <s v="6F218701PN"/>
        <s v="6F273801PN"/>
        <s v="5C0073400PN0"/>
        <s v="6F135001NT"/>
        <s v="6F176201NT"/>
        <s v="6F049001NT"/>
        <s v="5N0Z0020PN"/>
        <s v="5L0153700NT0"/>
        <s v="6F130901NT"/>
        <s v="5L0154500NT0"/>
        <s v="6F144201NT"/>
        <s v="6F219201PN"/>
        <s v="6F166601PN"/>
        <s v="6F217701PN"/>
        <s v="6F273601PN"/>
        <s v="5L0153900NT0"/>
        <s v="5C0081300PN0"/>
        <s v="5L0154000NT0"/>
        <s v="6F227601NT"/>
        <s v="6F218501NT"/>
        <s v="6F087901NT"/>
        <s v="6F151801NT"/>
        <s v="6F116501PN"/>
        <s v="6F131901NT"/>
        <s v="6F193701MP"/>
        <s v="6F160501PN"/>
        <s v="6F151101PN"/>
        <s v="5C0061400NT0"/>
        <s v="6F230401NT"/>
        <s v="6F208201PN"/>
        <s v="6F218601PN"/>
        <s v="5C0080500PN0"/>
        <s v="5L0148200NT0"/>
        <s v="6F193801MP"/>
        <s v="6F286601NT"/>
        <s v="6F211801NT"/>
        <s v="6F196601NT"/>
        <s v="6F212301NT"/>
        <s v="6F052701PN"/>
        <s v="6F251201PN"/>
        <s v="6F248901PN"/>
        <s v="6F219001PN"/>
        <s v="6F267001PN"/>
        <s v="6F197201PN"/>
        <s v="6F273901PN"/>
        <s v="6F187601PN"/>
        <s v="6F031101PN"/>
        <s v="6F234101CP"/>
        <s v="681074012PN"/>
        <s v="6F168601NT"/>
        <s v="6F168901NT"/>
        <s v="6F189301NT"/>
        <s v="6F238001NT"/>
        <n v="681074012"/>
        <s v="6F226701PN"/>
        <s v="6F229501PN"/>
        <s v="6F277501PN"/>
        <s v="6F122401PN"/>
        <s v="6F059501CP"/>
        <s v="6F191801PN"/>
        <s v="5C0056400PN0"/>
        <s v="6F163601PN"/>
        <s v="6F051401PN"/>
        <s v="6F099101PN"/>
        <s v="6F271701CP"/>
        <s v="6F205201CP"/>
        <s v="6F271101NT"/>
        <s v="6F263001NT"/>
        <s v="5T3011500NT0"/>
        <s v="6F188101NT"/>
        <s v="6F191101NT"/>
        <s v="6F219901NT"/>
        <s v="6F280101NT"/>
        <s v="6F273701NT"/>
        <s v="6F275301NT"/>
        <s v="6F207601NT"/>
        <s v="6F030101NT"/>
        <s v="6F211701NT"/>
        <s v="6F184301NT"/>
        <s v="6F195101NT"/>
        <s v="6F278001PN"/>
      </sharedItems>
    </cacheField>
    <cacheField name="物料名称" numFmtId="0">
      <sharedItems count="29">
        <s v="把手//3#锌合金"/>
        <s v="法兰"/>
        <s v="装饰罩//3#锌合金"/>
        <s v="把手"/>
        <s v="面板//3#锌合金"/>
        <s v="把手座"/>
        <s v="把手座//3#锌合金"/>
        <s v="装饰盖//3#锌合金"/>
        <s v="装饰罩"/>
        <s v="下盖//3#锌合金"/>
        <s v="中空把手"/>
        <s v="414588040 把手//3#锌合金"/>
        <s v="上盖//3#锌合金"/>
        <s v="装饰件"/>
        <s v="把手//ZZnAlD4-0.1//3#锌合金"/>
        <s v="把手//锌合金//3#锌合金"/>
        <s v="装饰墙罩//SUS201"/>
        <s v="把手//"/>
        <s v="马桶水箱把手(可自制外购)//3#锌合金"/>
        <s v="1399196把手//3#锌合金"/>
        <s v="马桶把手//3#锌合金"/>
        <s v="面盖//3#锌合金"/>
        <s v="马桶把手//"/>
        <s v="支座//3#锌合金"/>
        <s v="十字把手//3#锌合金"/>
        <s v="把手柄//3#锌合金"/>
        <s v="厨房龙头弹簧//SUS304"/>
        <s v="把手//ZZnAlD4-0.1"/>
        <s v="装饰罩//"/>
      </sharedItems>
    </cacheField>
    <cacheField name="数量" numFmtId="0">
      <sharedItems containsSemiMixedTypes="0" containsString="0" containsNumber="1" containsInteger="1" minValue="0" maxValue="10000" count="285">
        <n v="1512"/>
        <n v="1846"/>
        <n v="954"/>
        <n v="1400"/>
        <n v="330"/>
        <n v="5270"/>
        <n v="1042"/>
        <n v="114"/>
        <n v="350"/>
        <n v="8000"/>
        <n v="1970"/>
        <n v="4610"/>
        <n v="1200"/>
        <n v="1372"/>
        <n v="900"/>
        <n v="800"/>
        <n v="3000"/>
        <n v="200"/>
        <n v="400"/>
        <n v="4570"/>
        <n v="1000"/>
        <n v="3072"/>
        <n v="4980"/>
        <n v="1800"/>
        <n v="1432"/>
        <n v="1674"/>
        <n v="1818"/>
        <n v="100"/>
        <n v="2000"/>
        <n v="6380"/>
        <n v="300"/>
        <n v="700"/>
        <n v="556"/>
        <n v="13"/>
        <n v="72"/>
        <n v="134"/>
        <n v="1280"/>
        <n v="629"/>
        <n v="666"/>
        <n v="367"/>
        <n v="567"/>
        <n v="1568"/>
        <n v="1424"/>
        <n v="864"/>
        <n v="3346"/>
        <n v="2160"/>
        <n v="20"/>
        <n v="6100"/>
        <n v="1600"/>
        <n v="120"/>
        <n v="1880"/>
        <n v="2700"/>
        <n v="473"/>
        <n v="960"/>
        <n v="720"/>
        <n v="328"/>
        <n v="681"/>
        <n v="415"/>
        <n v="2780"/>
        <n v="1548"/>
        <n v="500"/>
        <n v="1370"/>
        <n v="232"/>
        <n v="372"/>
        <n v="628"/>
        <n v="256"/>
        <n v="667"/>
        <n v="26"/>
        <n v="1680"/>
        <n v="1572"/>
        <n v="1500"/>
        <n v="540"/>
        <n v="1920"/>
        <n v="370"/>
        <n v="365"/>
        <n v="1013"/>
        <n v="422"/>
        <n v="2200"/>
        <n v="860"/>
        <n v="167"/>
        <n v="692"/>
        <n v="411"/>
        <n v="257"/>
        <n v="1640"/>
        <n v="574"/>
        <n v="3411"/>
        <n v="1075"/>
        <n v="2940"/>
        <n v="66"/>
        <n v="84"/>
        <n v="1418"/>
        <n v="1384"/>
        <n v="1292"/>
        <n v="147"/>
        <n v="297"/>
        <n v="538"/>
        <n v="138"/>
        <n v="1360"/>
        <n v="2040"/>
        <n v="2400"/>
        <n v="156"/>
        <n v="751"/>
        <n v="2900"/>
        <n v="550"/>
        <n v="3910"/>
        <n v="2140"/>
        <n v="2660"/>
        <n v="1138"/>
        <n v="1114"/>
        <n v="426"/>
        <n v="482"/>
        <n v="242"/>
        <n v="1167"/>
        <n v="209"/>
        <n v="5040"/>
        <n v="3600"/>
        <n v="155"/>
        <n v="4020"/>
        <n v="1240"/>
        <n v="3460"/>
        <n v="1110"/>
        <n v="79"/>
        <n v="136"/>
        <n v="337"/>
        <n v="374"/>
        <n v="2279"/>
        <n v="1540"/>
        <n v="1300"/>
        <n v="68"/>
        <n v="1612"/>
        <n v="8514"/>
        <n v="587"/>
        <n v="680"/>
        <n v="2719"/>
        <n v="2471"/>
        <n v="1980"/>
        <n v="3456"/>
        <n v="2500"/>
        <n v="2800"/>
        <n v="447"/>
        <n v="146"/>
        <n v="932"/>
        <n v="1524"/>
        <n v="3900"/>
        <n v="4200"/>
        <n v="30"/>
        <n v="2833"/>
        <n v="3480"/>
        <n v="1008"/>
        <n v="5144"/>
        <n v="868"/>
        <n v="1700"/>
        <n v="1150"/>
        <n v="2790"/>
        <n v="970"/>
        <n v="1010"/>
        <n v="35"/>
        <n v="165"/>
        <n v="2688"/>
        <n v="420"/>
        <n v="199"/>
        <n v="505"/>
        <n v="457"/>
        <n v="543"/>
        <n v="7000"/>
        <n v="1320"/>
        <n v="1525"/>
        <n v="780"/>
        <n v="1120"/>
        <n v="1620"/>
        <n v="4380"/>
        <n v="180"/>
        <n v="1170"/>
        <n v="907"/>
        <n v="1890"/>
        <n v="620"/>
        <n v="1996"/>
        <n v="2204"/>
        <n v="4500"/>
        <n v="2102"/>
        <n v="1100"/>
        <n v="2357"/>
        <n v="1543"/>
        <n v="4900"/>
        <n v="2100"/>
        <n v="686"/>
        <n v="984"/>
        <n v="289"/>
        <n v="1991"/>
        <n v="1128"/>
        <n v="274"/>
        <n v="177"/>
        <n v="1272"/>
        <n v="9340"/>
        <n v="600"/>
        <n v="520"/>
        <n v="5000"/>
        <n v="2600"/>
        <n v="2060"/>
        <n v="919"/>
        <n v="340"/>
        <n v="6060"/>
        <n v="1180"/>
        <n v="59"/>
        <n v="1072"/>
        <n v="8340"/>
        <n v="1720"/>
        <n v="98"/>
        <n v="3782"/>
        <n v="849"/>
        <n v="851"/>
        <n v="8860"/>
        <n v="3940"/>
        <n v="1940"/>
        <n v="1252"/>
        <n v="857"/>
        <n v="4942"/>
        <n v="1356"/>
        <n v="855"/>
        <n v="2115"/>
        <n v="940"/>
        <n v="3040"/>
        <n v="6160"/>
        <n v="2640"/>
        <n v="1350"/>
        <n v="1352"/>
        <n v="1859"/>
        <n v="840"/>
        <n v="4000"/>
        <n v="3477"/>
        <n v="623"/>
        <n v="4398"/>
        <n v="1442"/>
        <n v="1380"/>
        <n v="1203"/>
        <n v="2297"/>
        <n v="3120"/>
        <n v="8080"/>
        <n v="1391"/>
        <n v="1093"/>
        <n v="218"/>
        <n v="2840"/>
        <n v="2520"/>
        <n v="90"/>
        <n v="1908"/>
        <n v="2108"/>
        <n v="2132"/>
        <n v="5360"/>
        <n v="8640"/>
        <n v="381"/>
        <n v="1005"/>
        <n v="630"/>
        <n v="1884"/>
        <n v="1885"/>
        <n v="2650"/>
        <n v="703"/>
        <n v="402"/>
        <n v="1202"/>
        <n v="5600"/>
        <n v="1076"/>
        <n v="3200"/>
        <n v="2045"/>
        <n v="2995"/>
        <n v="4400"/>
        <n v="5100"/>
        <n v="4600"/>
        <n v="1160"/>
        <n v="5400"/>
        <n v="750"/>
        <n v="3166"/>
        <n v="193"/>
        <n v="3700"/>
        <n v="3740"/>
        <n v="5700"/>
        <n v="3596"/>
        <n v="1004"/>
        <n v="1660"/>
        <n v="10000"/>
        <n v="1140"/>
        <n v="2043"/>
        <n v="54"/>
        <n v="4720"/>
        <n v="7280"/>
        <n v="952"/>
        <n v="5200"/>
      </sharedItems>
    </cacheField>
    <cacheField name="子库" numFmtId="0">
      <sharedItems count="4">
        <s v="N000"/>
        <s v="Y001"/>
        <s v="T000"/>
        <s v="Y002"/>
      </sharedItems>
    </cacheField>
    <cacheField name="货位" numFmtId="0">
      <sharedItems count="5">
        <s v="N000A000"/>
        <s v="Y001N003"/>
        <s v="T000F02"/>
        <s v="T000E27"/>
        <s v="Y0020000"/>
      </sharedItems>
    </cacheField>
    <cacheField name="接收人" numFmtId="0">
      <sharedItems count="4">
        <s v="王尾"/>
        <s v="向思平"/>
        <s v="杨东"/>
        <s v="刘家凤"/>
      </sharedItems>
    </cacheField>
    <cacheField name="供应商" numFmtId="0">
      <sharedItems count="15">
        <s v="广州镒沣金属制品有限公司"/>
        <s v="广州优云机械制造有限责任公司"/>
        <s v="东莞市荣亿五金制造有限公司"/>
        <s v="广州市众博金属制品有限公司"/>
        <s v="开平市中扬卫浴有限公司"/>
        <s v="广东顶尖管业科技有限公司"/>
        <s v="开平市翰森卫浴有限公司"/>
        <s v="开平市五金天沃制品有限公司"/>
        <s v="开平市汇航五金制品有限公司"/>
        <s v="江门市东睿科技有限公司"/>
        <s v="开平市中雅压铸卫浴有限公司"/>
        <s v="开平东航压铸卫浴有限公司"/>
        <s v="开平市珊瑚卫浴实业有限公司"/>
        <s v="开平市大长今五金制品有限公司"/>
        <s v="开平市迪朗五金塑料制品有限公司"/>
      </sharedItems>
    </cacheField>
    <cacheField name="供应商简称" numFmtId="0">
      <sharedItems count="15">
        <s v="镒沣"/>
        <s v="优云"/>
        <s v="荣亿"/>
        <s v="众博"/>
        <s v="中扬"/>
        <s v="顶尖"/>
        <s v="翰森"/>
        <s v="天沃"/>
        <s v="汇航"/>
        <s v="东睿"/>
        <s v="中雅"/>
        <s v="东航"/>
        <s v="珊瑚"/>
        <s v="大长今"/>
        <s v="迪朗"/>
      </sharedItems>
    </cacheField>
    <cacheField name="类型" numFmtId="0">
      <sharedItems count="3">
        <s v="NT"/>
        <s v="PN"/>
        <s v="MP"/>
      </sharedItems>
    </cacheField>
    <cacheField name="交货号" numFmtId="0">
      <sharedItems containsSemiMixedTypes="0" containsString="0" containsNumber="1" containsInteger="1" minValue="0" maxValue="10201160203292" count="273">
        <n v="10001161297282"/>
        <n v="10001161297280"/>
        <n v="10001161297281"/>
        <n v="10001161297987"/>
        <n v="10001161297990"/>
        <n v="10001161298018"/>
        <n v="10001161298019"/>
        <n v="10001161298034"/>
        <n v="10001161298036"/>
        <n v="10001161298056"/>
        <n v="10001161298413"/>
        <n v="10001161298395"/>
        <n v="10001161298398"/>
        <n v="10001161298644"/>
        <n v="10001161298614"/>
        <n v="10001161298613"/>
        <n v="10001161298612"/>
        <n v="10001161298609"/>
        <n v="10001161298589"/>
        <n v="10001161299136"/>
        <n v="10001161299149"/>
        <n v="10001161299155"/>
        <n v="10001161299160"/>
        <n v="10001161299122"/>
        <n v="10001161298814"/>
        <n v="10001161298813"/>
        <n v="10001161298812"/>
        <n v="10001161298815"/>
        <n v="10001161298833"/>
        <n v="10001161298834"/>
        <n v="10001161298835"/>
        <n v="10001161298837"/>
        <n v="10001161299121"/>
        <n v="10001161299123"/>
        <n v="10001161299124"/>
        <n v="10001161299125"/>
        <n v="10001161299126"/>
        <n v="10001161299127"/>
        <n v="10001161297458"/>
        <n v="10001161297456"/>
        <n v="10001161297457"/>
        <n v="10001161297455"/>
        <n v="10001161299206"/>
        <n v="10001161299210"/>
        <n v="10001161297454"/>
        <n v="10001161298152"/>
        <n v="10001161298154"/>
        <n v="10001161298155"/>
        <n v="10001161298232"/>
        <n v="10001161298233"/>
        <n v="10001161298234"/>
        <n v="10001161298273"/>
        <n v="10001161298275"/>
        <n v="10001161298278"/>
        <n v="10001161298303"/>
        <n v="10001161298304"/>
        <n v="10001161298306"/>
        <n v="10001161298307"/>
        <n v="10001161298308"/>
        <n v="10001161298309"/>
        <n v="10001161298532"/>
        <n v="10001161298533"/>
        <n v="10001161298534"/>
        <n v="10001161298535"/>
        <n v="10001161298543"/>
        <n v="10001161298544"/>
        <n v="10001161298545"/>
        <n v="10001161298546"/>
        <n v="10001161298547"/>
        <n v="10001161298565"/>
        <n v="10001161298646"/>
        <n v="10001161298645"/>
        <n v="10001161298659"/>
        <n v="10001161298660"/>
        <n v="10001161298661"/>
        <n v="10001161298712"/>
        <n v="10001161298715"/>
        <n v="10001161298717"/>
        <n v="10001161297475"/>
        <n v="10001161297476"/>
        <n v="10001161297477"/>
        <n v="10001161298566"/>
        <n v="10001161298567"/>
        <n v="10001161298568"/>
        <n v="10001161298570"/>
        <n v="10001161298569"/>
        <n v="10001161297384"/>
        <n v="10001161298931"/>
        <n v="10001161298929"/>
        <n v="10001161298836"/>
        <n v="10001161299201"/>
        <n v="10001161299202"/>
        <n v="10001161299204"/>
        <n v="10001161299203"/>
        <n v="10001161299205"/>
        <n v="10001161298810"/>
        <n v="10001161298811"/>
        <n v="10001161298761"/>
        <n v="10001161298759"/>
        <n v="10001161298752"/>
        <n v="10001161298751"/>
        <n v="10001161298750"/>
        <n v="10001161298876"/>
        <n v="10001161298235"/>
        <n v="10001161298236"/>
        <n v="10001161298237"/>
        <n v="10001161297914"/>
        <n v="10001161297915"/>
        <n v="10001161297279"/>
        <n v="10001161297753"/>
        <n v="10001161297752"/>
        <n v="10001161297751"/>
        <n v="10001161297750"/>
        <n v="10001161297749"/>
        <n v="10001161297739"/>
        <n v="10001161297740"/>
        <n v="10001161297741"/>
        <n v="10001161297742"/>
        <n v="10001161297743"/>
        <n v="10001161297746"/>
        <n v="10001161297748"/>
        <n v="10001161297744"/>
        <n v="10001161297745"/>
        <n v="10001161297652"/>
        <n v="10001161297653"/>
        <n v="10001161297654"/>
        <n v="10001161297655"/>
        <n v="10001161298357"/>
        <n v="10001161297505"/>
        <n v="10001161297506"/>
        <n v="10001161298096"/>
        <n v="10001161298097"/>
        <n v="10001161298098"/>
        <n v="10001161298103"/>
        <n v="10001161298104"/>
        <n v="10001161298105"/>
        <n v="10001161298106"/>
        <n v="10001161298107"/>
        <n v="10001161298126"/>
        <n v="10001161297322"/>
        <n v="10001161297323"/>
        <n v="10001161297324"/>
        <n v="10001161297325"/>
        <n v="10001161297326"/>
        <n v="10001161297327"/>
        <n v="10001161297328"/>
        <n v="10001161297329"/>
        <n v="10001161299011"/>
        <n v="10001161299098"/>
        <n v="10001161299099"/>
        <n v="10001161299100"/>
        <n v="10001161299102"/>
        <n v="10001161299101"/>
        <n v="10001161298946"/>
        <n v="10001161298944"/>
        <n v="10001161297916"/>
        <n v="10001161297747"/>
        <n v="10001161298521"/>
        <n v="10001161298467"/>
        <n v="10001161298466"/>
        <n v="10001161297931"/>
        <n v="10001161298272"/>
        <n v="10001161298243"/>
        <n v="10001161298244"/>
        <n v="10001161298245"/>
        <n v="10001161298246"/>
        <n v="10001161298247"/>
        <n v="10001161297793"/>
        <n v="10001161297792"/>
        <n v="10001161297789"/>
        <n v="10001161297802"/>
        <n v="10001161297805"/>
        <n v="10001161297806"/>
        <n v="10001161297807"/>
        <n v="10001161297808"/>
        <n v="10001161297809"/>
        <n v="10001161298267"/>
        <n v="10001161298268"/>
        <n v="10001161298465"/>
        <n v="10001161298464"/>
        <n v="10201160201646"/>
        <n v="10201160201647"/>
        <n v="10201160201648"/>
        <n v="10201160201649"/>
        <n v="10201160202613"/>
        <n v="10201160202020"/>
        <n v="10201160202018"/>
        <n v="10201160202015"/>
        <n v="10201160202061"/>
        <n v="10201160202459"/>
        <n v="10201160202460"/>
        <n v="10201160201765"/>
        <n v="10201160201073"/>
        <n v="10201160201074"/>
        <n v="10201160201071"/>
        <n v="10201160202160"/>
        <n v="10201160202158"/>
        <n v="10201160201678"/>
        <n v="10201160201682"/>
        <n v="10201160203283"/>
        <n v="10201160203285"/>
        <n v="10201160203286"/>
        <n v="10201160200801"/>
        <n v="10201160201328"/>
        <n v="10201160201072"/>
        <n v="10201160202669"/>
        <n v="10201160202159"/>
        <n v="10201160202161"/>
        <n v="10201160202162"/>
        <n v="10201160202163"/>
        <n v="10201160201492"/>
        <n v="10201160201493"/>
        <n v="10201160201497"/>
        <n v="10201160201075"/>
        <n v="10201160201076"/>
        <n v="10201160202452"/>
        <n v="10201160203290"/>
        <n v="10201160203291"/>
        <n v="10201160203292"/>
        <n v="10201160202666"/>
        <n v="10201160202670"/>
        <n v="10201160203039"/>
        <n v="10201160203045"/>
        <n v="10201160203049"/>
        <n v="10201160203158"/>
        <n v="10201160203159"/>
        <n v="10201160203160"/>
        <n v="10201160203161"/>
        <n v="10201160203183"/>
        <n v="10201160203184"/>
        <n v="10201160202787"/>
        <n v="10201160202788"/>
        <n v="10201160202765"/>
        <n v="10201160202929"/>
        <n v="10201160202668"/>
        <n v="10201160202770"/>
        <n v="10201160201388"/>
        <n v="10201160201848"/>
        <n v="10201160201849"/>
        <n v="10201160201850"/>
        <n v="10201160201851"/>
        <n v="10201160201855"/>
        <n v="10201160201877"/>
        <n v="10201160202016"/>
        <n v="10201160202839"/>
        <n v="10201160202840"/>
        <n v="10201160202841"/>
        <n v="10201160202785"/>
        <n v="10201160202786"/>
        <n v="10201160202837"/>
        <n v="10201160202461"/>
        <n v="10201160202470"/>
        <n v="10201160202473"/>
        <n v="10201160202504"/>
        <n v="10201160202671"/>
        <n v="10201160202672"/>
        <n v="10201160202673"/>
        <n v="10201160203279"/>
        <n v="10201160203280"/>
        <n v="10201160201548"/>
        <n v="10201160201553"/>
        <n v="10201160201554"/>
        <n v="10201160202188"/>
        <n v="10201160201847"/>
        <n v="10201160202272"/>
        <n v="10201160202294"/>
        <n v="10201160202411"/>
        <n v="10201160202453"/>
        <n v="10201160202454"/>
        <n v="10201160202455"/>
        <n v="10201160202456"/>
        <n v="10201160202457"/>
        <n v="10201160202458"/>
      </sharedItems>
    </cacheField>
    <cacheField name="采购订单号" numFmtId="0">
      <sharedItems containsSemiMixedTypes="0" containsString="0" containsNumber="1" containsInteger="1" minValue="0" maxValue="71020121070742" count="113">
        <n v="71000121052699"/>
        <n v="71000121061491"/>
        <n v="71000121052679"/>
        <n v="71000121052580"/>
        <n v="71000121050637"/>
        <n v="71000121060495"/>
        <n v="71000121070141"/>
        <n v="71000121052582"/>
        <n v="71000121061492"/>
        <n v="71000121070155"/>
        <n v="71000121062090"/>
        <n v="71000121062088"/>
        <n v="71000121052689"/>
        <n v="71000121061165"/>
        <n v="71000121061516"/>
        <n v="71000121060156"/>
        <n v="71000121051501"/>
        <n v="71000121062320"/>
        <n v="71000121050588"/>
        <n v="71000121051340"/>
        <n v="71000121070163"/>
        <n v="71000121051508"/>
        <n v="71000121060024"/>
        <n v="71000121052607"/>
        <n v="71000121052599"/>
        <n v="71000121052603"/>
        <n v="71000121062076"/>
        <n v="71000121050591"/>
        <n v="71000121051930"/>
        <n v="71000121050038"/>
        <n v="71000121061307"/>
        <n v="71000121070702"/>
        <n v="71000121061983"/>
        <n v="71000121060019"/>
        <n v="71000121061061"/>
        <n v="71000121042073"/>
        <n v="71000121052488"/>
        <n v="71000121050312"/>
        <n v="71000121052702"/>
        <n v="71000121052003"/>
        <n v="71000121051894"/>
        <n v="71000121051503"/>
        <n v="71000121061493"/>
        <n v="71000121062178"/>
        <n v="71000121061150"/>
        <n v="71000121051898"/>
        <n v="71000121061496"/>
        <n v="71000121061389"/>
        <n v="71000121052002"/>
        <n v="71000121070708"/>
        <n v="71000121061163"/>
        <n v="71000121052001"/>
        <n v="71000121051942"/>
        <n v="71000121062239"/>
        <n v="71000121052686"/>
        <n v="71000121042039"/>
        <n v="71000121042311"/>
        <n v="71000120122070"/>
        <n v="71000121051977"/>
        <n v="71000121052594"/>
        <n v="71000121061527"/>
        <n v="71000121051494"/>
        <n v="71000121061060"/>
        <n v="71000121062096"/>
        <n v="71020121060917"/>
        <n v="71020121051195"/>
        <n v="71020121050654"/>
        <n v="71020121060990"/>
        <n v="71020121070039"/>
        <n v="71020121060138"/>
        <n v="71020121060808"/>
        <n v="71020121051438"/>
        <n v="71020121051437"/>
        <n v="71020121051444"/>
        <n v="71020121050342"/>
        <n v="71020121050338"/>
        <n v="71020121032239"/>
        <n v="71020121031262"/>
        <n v="71020121031655"/>
        <n v="71020121061134"/>
        <n v="71020121051410"/>
        <n v="71020121060988"/>
        <n v="71020121060111"/>
        <n v="71020121030527"/>
        <n v="71020121061441"/>
        <n v="71020121050651"/>
        <n v="71020121060298"/>
        <n v="71020121032236"/>
        <n v="71020121050337"/>
        <n v="71020121050650"/>
        <n v="71020121060992"/>
        <n v="71020121050870"/>
        <n v="71020121032241"/>
        <n v="71020121050653"/>
        <n v="71020121051194"/>
        <n v="71020121060623"/>
        <n v="71020121070032"/>
        <n v="71020121070742"/>
        <n v="71020121051001"/>
        <n v="71020121011269"/>
        <n v="71020121061040"/>
        <n v="71020121060304"/>
        <n v="71020121051443"/>
        <n v="71020121060810"/>
        <n v="71020121060295"/>
        <n v="71020121051181"/>
        <n v="71020121050648"/>
        <n v="71020121050330"/>
        <n v="71020121051431"/>
        <n v="71020121061450"/>
        <n v="71020121061086"/>
        <n v="71020121050212"/>
        <n v="71020121060986"/>
      </sharedItems>
    </cacheField>
    <cacheField name="备注" numFmtId="0">
      <sharedItems containsString="0" containsBlank="1" containsDate="1" containsMixedTypes="1" count="3">
        <m/>
        <d v="2021-07-02T00:00:00"/>
        <n v="32107010053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7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7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0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:C55" firstHeaderRow="1" firstDataRow="1" firstDataCol="2" rowPageCount="2" colPageCount="1"/>
  <pivotFields count="44">
    <pivotField axis="axisPage" compact="0" showAll="0">
      <items count="3">
        <item x="1"/>
        <item x="0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>
      <items count="14">
        <item x="2"/>
        <item x="5"/>
        <item x="6"/>
        <item x="0"/>
        <item x="12"/>
        <item x="11"/>
        <item x="3"/>
        <item x="4"/>
        <item x="10"/>
        <item x="8"/>
        <item x="7"/>
        <item x="9"/>
        <item x="1"/>
        <item t="default"/>
      </items>
    </pivotField>
    <pivotField compact="0" showAll="0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compact="0" numFmtId="177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axis="axisRow" compact="0" showAll="0">
      <items count="124">
        <item x="116"/>
        <item x="119"/>
        <item x="108"/>
        <item x="106"/>
        <item x="41"/>
        <item x="110"/>
        <item x="115"/>
        <item x="42"/>
        <item x="99"/>
        <item x="122"/>
        <item x="113"/>
        <item x="117"/>
        <item x="98"/>
        <item x="100"/>
        <item x="111"/>
        <item x="114"/>
        <item x="121"/>
        <item x="112"/>
        <item x="105"/>
        <item x="118"/>
        <item x="107"/>
        <item x="120"/>
        <item x="109"/>
        <item x="93"/>
        <item x="95"/>
        <item x="75"/>
        <item x="68"/>
        <item x="67"/>
        <item x="20"/>
        <item x="81"/>
        <item x="80"/>
        <item x="55"/>
        <item x="44"/>
        <item x="79"/>
        <item x="65"/>
        <item x="45"/>
        <item x="76"/>
        <item x="94"/>
        <item x="29"/>
        <item x="26"/>
        <item x="37"/>
        <item x="34"/>
        <item x="78"/>
        <item x="104"/>
        <item x="87"/>
        <item x="56"/>
        <item x="86"/>
        <item x="47"/>
        <item x="58"/>
        <item x="8"/>
        <item x="22"/>
        <item x="32"/>
        <item x="21"/>
        <item x="62"/>
        <item x="48"/>
        <item x="4"/>
        <item x="10"/>
        <item x="31"/>
        <item x="25"/>
        <item x="38"/>
        <item x="27"/>
        <item x="72"/>
        <item x="97"/>
        <item x="18"/>
        <item x="17"/>
        <item x="101"/>
        <item x="103"/>
        <item x="23"/>
        <item x="5"/>
        <item x="16"/>
        <item x="7"/>
        <item x="39"/>
        <item x="102"/>
        <item x="90"/>
        <item x="88"/>
        <item x="50"/>
        <item x="64"/>
        <item x="92"/>
        <item x="40"/>
        <item x="6"/>
        <item x="19"/>
        <item x="43"/>
        <item x="30"/>
        <item x="36"/>
        <item x="91"/>
        <item x="57"/>
        <item x="61"/>
        <item x="52"/>
        <item x="9"/>
        <item x="28"/>
        <item x="51"/>
        <item x="71"/>
        <item x="85"/>
        <item x="69"/>
        <item x="54"/>
        <item x="53"/>
        <item x="84"/>
        <item x="15"/>
        <item x="14"/>
        <item x="96"/>
        <item x="89"/>
        <item x="63"/>
        <item x="59"/>
        <item x="70"/>
        <item x="77"/>
        <item x="66"/>
        <item x="13"/>
        <item x="73"/>
        <item x="74"/>
        <item x="60"/>
        <item x="11"/>
        <item x="83"/>
        <item x="1"/>
        <item x="82"/>
        <item x="49"/>
        <item x="12"/>
        <item x="33"/>
        <item x="46"/>
        <item x="0"/>
        <item x="2"/>
        <item x="3"/>
        <item x="24"/>
        <item x="35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2">
        <item x="0"/>
        <item t="default"/>
      </items>
    </pivotField>
    <pivotField compact="0" showAll="0">
      <items count="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t="default"/>
      </items>
    </pivotField>
    <pivotField compact="0" numFmtId="177" showAl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compact="0" showAll="0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axis="axisPage" compact="0" multipleItemSelectionAllowed="1" showAll="0">
      <items count="5">
        <item h="1" x="3"/>
        <item x="0"/>
        <item h="1" x="1"/>
        <item h="1"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t="default"/>
      </items>
    </pivotField>
    <pivotField compact="0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compact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>
      <items count="2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t="default"/>
      </items>
    </pivotField>
    <pivotField dataField="1" compact="0" showAll="0">
      <items count="2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t="default"/>
      </items>
    </pivotField>
    <pivotField compact="0" showAll="0">
      <items count="2">
        <item x="0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5">
        <item x="0"/>
        <item x="1"/>
        <item x="2"/>
        <item x="3"/>
        <item t="default"/>
      </items>
    </pivotField>
  </pivotFields>
  <rowFields count="2">
    <field x="2"/>
    <field x="8"/>
  </rowFields>
  <rowItems count="51">
    <i>
      <x v="2"/>
    </i>
    <i r="1">
      <x v="111"/>
    </i>
    <i r="1">
      <x v="113"/>
    </i>
    <i>
      <x v="4"/>
    </i>
    <i r="1">
      <x v="43"/>
    </i>
    <i r="1">
      <x v="65"/>
    </i>
    <i r="1">
      <x v="66"/>
    </i>
    <i r="1">
      <x v="72"/>
    </i>
    <i>
      <x v="5"/>
    </i>
    <i r="1">
      <x v="8"/>
    </i>
    <i r="1">
      <x v="12"/>
    </i>
    <i r="1">
      <x v="13"/>
    </i>
    <i>
      <x v="6"/>
    </i>
    <i r="1">
      <x v="48"/>
    </i>
    <i r="1">
      <x v="62"/>
    </i>
    <i r="1">
      <x v="99"/>
    </i>
    <i>
      <x v="7"/>
    </i>
    <i r="1">
      <x/>
    </i>
    <i r="1">
      <x v="1"/>
    </i>
    <i r="1">
      <x v="2"/>
    </i>
    <i r="1">
      <x v="3"/>
    </i>
    <i r="1">
      <x v="5"/>
    </i>
    <i r="1">
      <x v="6"/>
    </i>
    <i r="1">
      <x v="9"/>
    </i>
    <i r="1">
      <x v="10"/>
    </i>
    <i r="1">
      <x v="11"/>
    </i>
    <i r="1">
      <x v="14"/>
    </i>
    <i r="1">
      <x v="15"/>
    </i>
    <i r="1">
      <x v="17"/>
    </i>
    <i r="1">
      <x v="19"/>
    </i>
    <i r="1">
      <x v="20"/>
    </i>
    <i r="1">
      <x v="22"/>
    </i>
    <i>
      <x v="8"/>
    </i>
    <i r="1">
      <x v="23"/>
    </i>
    <i r="1">
      <x v="24"/>
    </i>
    <i r="1">
      <x v="37"/>
    </i>
    <i r="1">
      <x v="77"/>
    </i>
    <i>
      <x v="9"/>
    </i>
    <i r="1">
      <x v="44"/>
    </i>
    <i r="1">
      <x v="46"/>
    </i>
    <i>
      <x v="10"/>
    </i>
    <i r="1">
      <x v="92"/>
    </i>
    <i r="1">
      <x v="96"/>
    </i>
    <i>
      <x v="11"/>
    </i>
    <i r="1">
      <x v="73"/>
    </i>
    <i r="1">
      <x v="84"/>
    </i>
    <i>
      <x v="12"/>
    </i>
    <i r="1">
      <x v="4"/>
    </i>
    <i r="1">
      <x v="18"/>
    </i>
    <i r="1">
      <x v="74"/>
    </i>
    <i t="grand">
      <x/>
    </i>
  </rowItems>
  <colItems count="1">
    <i/>
  </colItems>
  <pageFields count="2">
    <pageField fld="0" item="0"/>
    <pageField fld="14"/>
  </pageFields>
  <dataFields count="1">
    <dataField name="求和项:最终未交清数量" fld="2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9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:C81" firstHeaderRow="1" firstDataRow="1" firstDataCol="2" rowPageCount="2" colPageCount="1"/>
  <pivotFields count="44">
    <pivotField axis="axisPage" compact="0" showAll="0">
      <items count="3">
        <item x="1"/>
        <item x="0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>
      <items count="14">
        <item x="2"/>
        <item x="5"/>
        <item x="6"/>
        <item x="0"/>
        <item x="12"/>
        <item x="11"/>
        <item x="3"/>
        <item x="4"/>
        <item x="10"/>
        <item x="8"/>
        <item x="7"/>
        <item x="9"/>
        <item x="1"/>
        <item t="default"/>
      </items>
    </pivotField>
    <pivotField compact="0" showAll="0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compact="0" numFmtId="177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axis="axisRow" compact="0" showAll="0">
      <items count="124">
        <item x="116"/>
        <item x="119"/>
        <item x="108"/>
        <item x="106"/>
        <item x="41"/>
        <item x="110"/>
        <item x="115"/>
        <item x="42"/>
        <item x="99"/>
        <item x="122"/>
        <item x="113"/>
        <item x="117"/>
        <item x="98"/>
        <item x="100"/>
        <item x="111"/>
        <item x="114"/>
        <item x="121"/>
        <item x="112"/>
        <item x="105"/>
        <item x="118"/>
        <item x="107"/>
        <item x="120"/>
        <item x="109"/>
        <item x="93"/>
        <item x="95"/>
        <item x="75"/>
        <item x="68"/>
        <item x="67"/>
        <item x="20"/>
        <item x="81"/>
        <item x="80"/>
        <item x="55"/>
        <item x="44"/>
        <item x="79"/>
        <item x="65"/>
        <item x="45"/>
        <item x="76"/>
        <item x="94"/>
        <item x="29"/>
        <item x="26"/>
        <item x="37"/>
        <item x="34"/>
        <item x="78"/>
        <item x="104"/>
        <item x="87"/>
        <item x="56"/>
        <item x="86"/>
        <item x="47"/>
        <item x="58"/>
        <item x="8"/>
        <item x="22"/>
        <item x="32"/>
        <item x="21"/>
        <item x="62"/>
        <item x="48"/>
        <item x="4"/>
        <item x="10"/>
        <item x="31"/>
        <item x="25"/>
        <item x="38"/>
        <item x="27"/>
        <item x="72"/>
        <item x="97"/>
        <item x="18"/>
        <item x="17"/>
        <item x="101"/>
        <item x="103"/>
        <item x="23"/>
        <item x="5"/>
        <item x="16"/>
        <item x="7"/>
        <item x="39"/>
        <item x="102"/>
        <item x="90"/>
        <item x="88"/>
        <item x="50"/>
        <item x="64"/>
        <item x="92"/>
        <item x="40"/>
        <item x="6"/>
        <item x="19"/>
        <item x="43"/>
        <item x="30"/>
        <item x="36"/>
        <item x="91"/>
        <item x="57"/>
        <item x="61"/>
        <item x="52"/>
        <item x="9"/>
        <item x="28"/>
        <item x="51"/>
        <item x="71"/>
        <item x="85"/>
        <item x="69"/>
        <item x="54"/>
        <item x="53"/>
        <item x="84"/>
        <item x="15"/>
        <item x="14"/>
        <item x="96"/>
        <item x="89"/>
        <item x="63"/>
        <item x="59"/>
        <item x="70"/>
        <item x="77"/>
        <item x="66"/>
        <item x="13"/>
        <item x="73"/>
        <item x="74"/>
        <item x="60"/>
        <item x="11"/>
        <item x="83"/>
        <item x="1"/>
        <item x="82"/>
        <item x="49"/>
        <item x="12"/>
        <item x="33"/>
        <item x="46"/>
        <item x="0"/>
        <item x="2"/>
        <item x="3"/>
        <item x="24"/>
        <item x="35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2">
        <item x="0"/>
        <item t="default"/>
      </items>
    </pivotField>
    <pivotField compact="0" showAll="0">
      <items count="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t="default"/>
      </items>
    </pivotField>
    <pivotField compact="0" numFmtId="177" showAl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compact="0" showAll="0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axis="axisPage" compact="0" multipleItemSelectionAllowed="1" showAll="0">
      <items count="5">
        <item h="1" x="3"/>
        <item x="0"/>
        <item h="1" x="1"/>
        <item h="1"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t="default"/>
      </items>
    </pivotField>
    <pivotField compact="0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compact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>
      <items count="2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t="default"/>
      </items>
    </pivotField>
    <pivotField dataField="1" compact="0" showAll="0">
      <items count="2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t="default"/>
      </items>
    </pivotField>
    <pivotField compact="0" showAll="0">
      <items count="2">
        <item x="0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5">
        <item x="0"/>
        <item x="1"/>
        <item x="2"/>
        <item x="3"/>
        <item t="default"/>
      </items>
    </pivotField>
  </pivotFields>
  <rowFields count="2">
    <field x="2"/>
    <field x="8"/>
  </rowFields>
  <rowItems count="77">
    <i>
      <x/>
    </i>
    <i r="1">
      <x v="31"/>
    </i>
    <i r="1">
      <x v="32"/>
    </i>
    <i r="1">
      <x v="35"/>
    </i>
    <i r="1">
      <x v="45"/>
    </i>
    <i r="1">
      <x v="47"/>
    </i>
    <i r="1">
      <x v="54"/>
    </i>
    <i r="1">
      <x v="75"/>
    </i>
    <i r="1">
      <x v="81"/>
    </i>
    <i r="1">
      <x v="85"/>
    </i>
    <i r="1">
      <x v="87"/>
    </i>
    <i r="1">
      <x v="90"/>
    </i>
    <i r="1">
      <x v="95"/>
    </i>
    <i r="1">
      <x v="114"/>
    </i>
    <i r="1">
      <x v="117"/>
    </i>
    <i>
      <x v="1"/>
    </i>
    <i r="1">
      <x v="29"/>
    </i>
    <i r="1">
      <x v="30"/>
    </i>
    <i>
      <x v="3"/>
    </i>
    <i r="1">
      <x v="39"/>
    </i>
    <i r="1">
      <x v="50"/>
    </i>
    <i r="1">
      <x v="55"/>
    </i>
    <i r="1">
      <x v="58"/>
    </i>
    <i r="1">
      <x v="60"/>
    </i>
    <i r="1">
      <x v="63"/>
    </i>
    <i r="1">
      <x v="67"/>
    </i>
    <i r="1">
      <x v="68"/>
    </i>
    <i r="1">
      <x v="70"/>
    </i>
    <i r="1">
      <x v="79"/>
    </i>
    <i r="1">
      <x v="88"/>
    </i>
    <i r="1">
      <x v="106"/>
    </i>
    <i r="1">
      <x v="110"/>
    </i>
    <i r="1">
      <x v="112"/>
    </i>
    <i r="1">
      <x v="115"/>
    </i>
    <i r="1">
      <x v="118"/>
    </i>
    <i r="1">
      <x v="119"/>
    </i>
    <i r="1">
      <x v="120"/>
    </i>
    <i r="1">
      <x v="121"/>
    </i>
    <i>
      <x v="6"/>
    </i>
    <i r="1">
      <x v="48"/>
    </i>
    <i>
      <x v="7"/>
    </i>
    <i r="1">
      <x v="25"/>
    </i>
    <i r="1">
      <x v="26"/>
    </i>
    <i r="1">
      <x v="27"/>
    </i>
    <i r="1">
      <x v="33"/>
    </i>
    <i r="1">
      <x v="34"/>
    </i>
    <i r="1">
      <x v="36"/>
    </i>
    <i r="1">
      <x v="42"/>
    </i>
    <i r="1">
      <x v="53"/>
    </i>
    <i r="1">
      <x v="61"/>
    </i>
    <i r="1">
      <x v="76"/>
    </i>
    <i r="1">
      <x v="86"/>
    </i>
    <i r="1">
      <x v="91"/>
    </i>
    <i r="1">
      <x v="93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>
      <x v="12"/>
    </i>
    <i r="1">
      <x v="4"/>
    </i>
    <i r="1">
      <x v="7"/>
    </i>
    <i r="1">
      <x v="38"/>
    </i>
    <i r="1">
      <x v="41"/>
    </i>
    <i r="1">
      <x v="57"/>
    </i>
    <i r="1">
      <x v="59"/>
    </i>
    <i r="1">
      <x v="71"/>
    </i>
    <i r="1">
      <x v="78"/>
    </i>
    <i r="1">
      <x v="82"/>
    </i>
    <i r="1">
      <x v="83"/>
    </i>
    <i r="1">
      <x v="89"/>
    </i>
    <i r="1">
      <x v="116"/>
    </i>
    <i r="1">
      <x v="122"/>
    </i>
    <i t="grand">
      <x/>
    </i>
  </rowItems>
  <colItems count="1">
    <i/>
  </colItems>
  <pageFields count="2">
    <pageField fld="0" item="1"/>
    <pageField fld="14"/>
  </pageFields>
  <dataFields count="1">
    <dataField name="求和项:最终未交清数量" fld="2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16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:C55" firstHeaderRow="1" firstDataRow="1" firstDataCol="2" rowPageCount="2" colPageCount="1"/>
  <pivotFields count="44">
    <pivotField axis="axisPage" compact="0" multipleItemSelectionAllowed="1" showAll="0">
      <items count="3">
        <item x="1"/>
        <item h="1" x="0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showAll="0">
      <items count="14">
        <item x="2"/>
        <item x="5"/>
        <item x="6"/>
        <item x="0"/>
        <item x="12"/>
        <item x="11"/>
        <item x="3"/>
        <item x="4"/>
        <item x="10"/>
        <item x="8"/>
        <item x="7"/>
        <item x="9"/>
        <item x="1"/>
        <item t="default"/>
      </items>
    </pivotField>
    <pivotField compact="0" showAll="0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compact="0" numFmtId="177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axis="axisRow" compact="0" showAll="0">
      <items count="124">
        <item x="116"/>
        <item x="119"/>
        <item x="108"/>
        <item x="106"/>
        <item x="41"/>
        <item x="110"/>
        <item x="115"/>
        <item x="42"/>
        <item x="99"/>
        <item x="122"/>
        <item x="113"/>
        <item x="117"/>
        <item x="98"/>
        <item x="100"/>
        <item x="111"/>
        <item x="114"/>
        <item x="121"/>
        <item x="112"/>
        <item x="105"/>
        <item x="118"/>
        <item x="107"/>
        <item x="120"/>
        <item x="109"/>
        <item x="93"/>
        <item x="95"/>
        <item x="75"/>
        <item x="68"/>
        <item x="67"/>
        <item x="20"/>
        <item x="81"/>
        <item x="80"/>
        <item x="55"/>
        <item x="44"/>
        <item x="79"/>
        <item x="65"/>
        <item x="45"/>
        <item x="76"/>
        <item x="94"/>
        <item x="29"/>
        <item x="26"/>
        <item x="37"/>
        <item x="34"/>
        <item x="78"/>
        <item x="104"/>
        <item x="87"/>
        <item x="56"/>
        <item x="86"/>
        <item x="47"/>
        <item x="58"/>
        <item x="8"/>
        <item x="22"/>
        <item x="32"/>
        <item x="21"/>
        <item x="62"/>
        <item x="48"/>
        <item x="4"/>
        <item x="10"/>
        <item x="31"/>
        <item x="25"/>
        <item x="38"/>
        <item x="27"/>
        <item x="72"/>
        <item x="97"/>
        <item x="18"/>
        <item x="17"/>
        <item x="101"/>
        <item x="103"/>
        <item x="23"/>
        <item x="5"/>
        <item x="16"/>
        <item x="7"/>
        <item x="39"/>
        <item x="102"/>
        <item x="90"/>
        <item x="88"/>
        <item x="50"/>
        <item x="64"/>
        <item x="92"/>
        <item x="40"/>
        <item x="6"/>
        <item x="19"/>
        <item x="43"/>
        <item x="30"/>
        <item x="36"/>
        <item x="91"/>
        <item x="57"/>
        <item x="61"/>
        <item x="52"/>
        <item x="9"/>
        <item x="28"/>
        <item x="51"/>
        <item x="71"/>
        <item x="85"/>
        <item x="69"/>
        <item x="54"/>
        <item x="53"/>
        <item x="84"/>
        <item x="15"/>
        <item x="14"/>
        <item x="96"/>
        <item x="89"/>
        <item x="63"/>
        <item x="59"/>
        <item x="70"/>
        <item x="77"/>
        <item x="66"/>
        <item x="13"/>
        <item x="73"/>
        <item x="74"/>
        <item x="60"/>
        <item x="11"/>
        <item x="83"/>
        <item x="1"/>
        <item x="82"/>
        <item x="49"/>
        <item x="12"/>
        <item x="33"/>
        <item x="46"/>
        <item x="0"/>
        <item x="2"/>
        <item x="3"/>
        <item x="24"/>
        <item x="35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2">
        <item x="0"/>
        <item t="default"/>
      </items>
    </pivotField>
    <pivotField compact="0" showAll="0">
      <items count="2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t="default"/>
      </items>
    </pivotField>
    <pivotField compact="0" numFmtId="177" showAl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compact="0" showAll="0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axis="axisPage" compact="0" multipleItemSelectionAllowed="1" showAll="0">
      <items count="5">
        <item h="1" x="3"/>
        <item x="0"/>
        <item h="1" x="1"/>
        <item h="1"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t="default"/>
      </items>
    </pivotField>
    <pivotField compact="0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compact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>
      <items count="2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t="default"/>
      </items>
    </pivotField>
    <pivotField dataField="1" compact="0" showAll="0">
      <items count="2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t="default"/>
      </items>
    </pivotField>
    <pivotField compact="0" showAll="0">
      <items count="2">
        <item x="0"/>
        <item t="default"/>
      </items>
    </pivotField>
    <pivotField compact="0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4">
        <item x="0"/>
        <item x="1"/>
        <item x="2"/>
        <item t="default"/>
      </items>
    </pivotField>
    <pivotField compact="0" showAll="0">
      <items count="2">
        <item x="0"/>
        <item t="default"/>
      </items>
    </pivotField>
    <pivotField compact="0" showAll="0">
      <items count="5">
        <item x="0"/>
        <item x="1"/>
        <item x="2"/>
        <item x="3"/>
        <item t="default"/>
      </items>
    </pivotField>
  </pivotFields>
  <rowFields count="2">
    <field x="2"/>
    <field x="8"/>
  </rowFields>
  <rowItems count="51">
    <i>
      <x v="2"/>
    </i>
    <i r="1">
      <x v="111"/>
    </i>
    <i r="1">
      <x v="113"/>
    </i>
    <i>
      <x v="4"/>
    </i>
    <i r="1">
      <x v="43"/>
    </i>
    <i r="1">
      <x v="65"/>
    </i>
    <i r="1">
      <x v="66"/>
    </i>
    <i r="1">
      <x v="72"/>
    </i>
    <i>
      <x v="5"/>
    </i>
    <i r="1">
      <x v="8"/>
    </i>
    <i r="1">
      <x v="12"/>
    </i>
    <i r="1">
      <x v="13"/>
    </i>
    <i>
      <x v="6"/>
    </i>
    <i r="1">
      <x v="48"/>
    </i>
    <i r="1">
      <x v="62"/>
    </i>
    <i r="1">
      <x v="99"/>
    </i>
    <i>
      <x v="7"/>
    </i>
    <i r="1">
      <x/>
    </i>
    <i r="1">
      <x v="1"/>
    </i>
    <i r="1">
      <x v="2"/>
    </i>
    <i r="1">
      <x v="3"/>
    </i>
    <i r="1">
      <x v="5"/>
    </i>
    <i r="1">
      <x v="6"/>
    </i>
    <i r="1">
      <x v="9"/>
    </i>
    <i r="1">
      <x v="10"/>
    </i>
    <i r="1">
      <x v="11"/>
    </i>
    <i r="1">
      <x v="14"/>
    </i>
    <i r="1">
      <x v="15"/>
    </i>
    <i r="1">
      <x v="17"/>
    </i>
    <i r="1">
      <x v="19"/>
    </i>
    <i r="1">
      <x v="20"/>
    </i>
    <i r="1">
      <x v="22"/>
    </i>
    <i>
      <x v="8"/>
    </i>
    <i r="1">
      <x v="23"/>
    </i>
    <i r="1">
      <x v="24"/>
    </i>
    <i r="1">
      <x v="37"/>
    </i>
    <i r="1">
      <x v="77"/>
    </i>
    <i>
      <x v="9"/>
    </i>
    <i r="1">
      <x v="44"/>
    </i>
    <i r="1">
      <x v="46"/>
    </i>
    <i>
      <x v="10"/>
    </i>
    <i r="1">
      <x v="92"/>
    </i>
    <i r="1">
      <x v="96"/>
    </i>
    <i>
      <x v="11"/>
    </i>
    <i r="1">
      <x v="73"/>
    </i>
    <i r="1">
      <x v="84"/>
    </i>
    <i>
      <x v="12"/>
    </i>
    <i r="1">
      <x v="4"/>
    </i>
    <i r="1">
      <x v="18"/>
    </i>
    <i r="1">
      <x v="74"/>
    </i>
    <i t="grand">
      <x/>
    </i>
  </rowItems>
  <colItems count="1">
    <i/>
  </colItems>
  <pageFields count="2">
    <pageField fld="0"/>
    <pageField fld="14"/>
  </pageFields>
  <dataFields count="1">
    <dataField name="求和项:最终未交清数量" fld="2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24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:C31" firstHeaderRow="1" firstDataRow="1" firstDataCol="2" rowPageCount="2" colPageCount="1"/>
  <pivotFields count="16">
    <pivotField compact="0" showAll="0">
      <items count="434">
        <item x="0"/>
        <item x="1"/>
        <item x="2"/>
        <item x="3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57"/>
        <item x="58"/>
        <item x="59"/>
        <item x="60"/>
        <item x="61"/>
        <item x="62"/>
        <item x="63"/>
        <item x="312"/>
        <item x="313"/>
        <item x="314"/>
        <item x="315"/>
        <item x="316"/>
        <item x="317"/>
        <item x="318"/>
        <item x="64"/>
        <item x="65"/>
        <item x="319"/>
        <item x="320"/>
        <item x="321"/>
        <item x="322"/>
        <item x="323"/>
        <item x="324"/>
        <item x="66"/>
        <item x="325"/>
        <item x="326"/>
        <item x="327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328"/>
        <item x="329"/>
        <item x="330"/>
        <item x="331"/>
        <item x="332"/>
        <item x="333"/>
        <item x="334"/>
        <item x="335"/>
        <item x="122"/>
        <item x="123"/>
        <item x="124"/>
        <item x="12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26"/>
        <item x="127"/>
        <item x="128"/>
        <item x="129"/>
        <item x="130"/>
        <item x="131"/>
        <item x="132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133"/>
        <item x="363"/>
        <item x="134"/>
        <item x="135"/>
        <item x="364"/>
        <item x="365"/>
        <item x="366"/>
        <item x="367"/>
        <item x="368"/>
        <item x="369"/>
        <item x="370"/>
        <item x="371"/>
        <item x="372"/>
        <item x="373"/>
        <item x="136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t="default"/>
      </items>
    </pivotField>
    <pivotField axis="axisPage" compact="0" showAll="0">
      <items count="3">
        <item x="0"/>
        <item x="1"/>
        <item t="default"/>
      </items>
    </pivotField>
    <pivotField compact="0" numFmtId="22" showAll="0"/>
    <pivotField compact="0" numFmtId="22" showAll="0"/>
    <pivotField axis="axisRow" compact="0" showAll="0">
      <items count="92">
        <item x="63"/>
        <item x="70"/>
        <item x="37"/>
        <item x="12"/>
        <item x="41"/>
        <item x="26"/>
        <item x="42"/>
        <item x="17"/>
        <item x="25"/>
        <item x="27"/>
        <item x="19"/>
        <item x="16"/>
        <item x="78"/>
        <item x="58"/>
        <item x="86"/>
        <item x="56"/>
        <item x="15"/>
        <item x="72"/>
        <item x="4"/>
        <item x="48"/>
        <item x="68"/>
        <item x="30"/>
        <item x="73"/>
        <item x="32"/>
        <item x="67"/>
        <item x="18"/>
        <item x="33"/>
        <item x="6"/>
        <item x="13"/>
        <item x="20"/>
        <item x="1"/>
        <item x="36"/>
        <item x="31"/>
        <item x="5"/>
        <item x="35"/>
        <item x="71"/>
        <item x="22"/>
        <item x="59"/>
        <item x="60"/>
        <item x="14"/>
        <item x="88"/>
        <item x="55"/>
        <item x="79"/>
        <item x="61"/>
        <item x="80"/>
        <item x="69"/>
        <item x="34"/>
        <item x="43"/>
        <item x="89"/>
        <item x="46"/>
        <item x="53"/>
        <item x="75"/>
        <item x="85"/>
        <item x="39"/>
        <item x="87"/>
        <item x="45"/>
        <item x="47"/>
        <item x="23"/>
        <item x="29"/>
        <item x="40"/>
        <item x="10"/>
        <item x="51"/>
        <item x="21"/>
        <item x="81"/>
        <item x="64"/>
        <item x="28"/>
        <item x="65"/>
        <item x="38"/>
        <item x="2"/>
        <item x="9"/>
        <item x="8"/>
        <item x="7"/>
        <item x="57"/>
        <item x="62"/>
        <item x="50"/>
        <item x="49"/>
        <item x="0"/>
        <item x="3"/>
        <item x="77"/>
        <item x="52"/>
        <item x="76"/>
        <item x="74"/>
        <item x="24"/>
        <item x="83"/>
        <item x="11"/>
        <item x="54"/>
        <item x="84"/>
        <item x="66"/>
        <item x="90"/>
        <item x="82"/>
        <item x="44"/>
        <item t="default"/>
      </items>
    </pivotField>
    <pivotField compact="0" showAll="0">
      <items count="30">
        <item x="19"/>
        <item x="11"/>
        <item x="3"/>
        <item x="17"/>
        <item x="0"/>
        <item x="27"/>
        <item x="14"/>
        <item x="15"/>
        <item x="25"/>
        <item x="5"/>
        <item x="6"/>
        <item x="26"/>
        <item x="1"/>
        <item x="22"/>
        <item x="20"/>
        <item x="18"/>
        <item x="4"/>
        <item x="21"/>
        <item x="12"/>
        <item x="24"/>
        <item x="9"/>
        <item x="23"/>
        <item x="10"/>
        <item x="7"/>
        <item x="13"/>
        <item x="16"/>
        <item x="8"/>
        <item x="28"/>
        <item x="2"/>
        <item t="default"/>
      </items>
    </pivotField>
    <pivotField dataField="1" compact="0" showAll="0">
      <items count="286">
        <item x="33"/>
        <item x="46"/>
        <item x="67"/>
        <item x="145"/>
        <item x="156"/>
        <item x="280"/>
        <item x="203"/>
        <item x="88"/>
        <item x="128"/>
        <item x="34"/>
        <item x="121"/>
        <item x="89"/>
        <item x="243"/>
        <item x="207"/>
        <item x="27"/>
        <item x="7"/>
        <item x="49"/>
        <item x="35"/>
        <item x="122"/>
        <item x="96"/>
        <item x="140"/>
        <item x="93"/>
        <item x="116"/>
        <item x="100"/>
        <item x="157"/>
        <item x="79"/>
        <item x="191"/>
        <item x="171"/>
        <item x="270"/>
        <item x="160"/>
        <item x="17"/>
        <item x="113"/>
        <item x="240"/>
        <item x="62"/>
        <item x="111"/>
        <item x="65"/>
        <item x="82"/>
        <item x="190"/>
        <item x="187"/>
        <item x="94"/>
        <item x="30"/>
        <item x="55"/>
        <item x="4"/>
        <item x="123"/>
        <item x="200"/>
        <item x="8"/>
        <item x="74"/>
        <item x="39"/>
        <item x="73"/>
        <item x="63"/>
        <item x="124"/>
        <item x="249"/>
        <item x="18"/>
        <item x="256"/>
        <item x="81"/>
        <item x="57"/>
        <item x="159"/>
        <item x="76"/>
        <item x="109"/>
        <item x="139"/>
        <item x="162"/>
        <item x="52"/>
        <item x="110"/>
        <item x="60"/>
        <item x="161"/>
        <item x="195"/>
        <item x="95"/>
        <item x="71"/>
        <item x="163"/>
        <item x="103"/>
        <item x="32"/>
        <item x="40"/>
        <item x="84"/>
        <item x="131"/>
        <item x="194"/>
        <item x="175"/>
        <item x="230"/>
        <item x="64"/>
        <item x="37"/>
        <item x="251"/>
        <item x="38"/>
        <item x="66"/>
        <item x="132"/>
        <item x="56"/>
        <item x="185"/>
        <item x="80"/>
        <item x="31"/>
        <item x="255"/>
        <item x="54"/>
        <item x="268"/>
        <item x="101"/>
        <item x="167"/>
        <item x="15"/>
        <item x="227"/>
        <item x="209"/>
        <item x="210"/>
        <item x="218"/>
        <item x="215"/>
        <item x="78"/>
        <item x="43"/>
        <item x="150"/>
        <item x="14"/>
        <item x="173"/>
        <item x="199"/>
        <item x="141"/>
        <item x="220"/>
        <item x="283"/>
        <item x="2"/>
        <item x="53"/>
        <item x="154"/>
        <item x="186"/>
        <item x="20"/>
        <item x="275"/>
        <item x="250"/>
        <item x="148"/>
        <item x="155"/>
        <item x="75"/>
        <item x="6"/>
        <item x="204"/>
        <item x="86"/>
        <item x="259"/>
        <item x="239"/>
        <item x="180"/>
        <item x="120"/>
        <item x="108"/>
        <item x="168"/>
        <item x="189"/>
        <item x="107"/>
        <item x="278"/>
        <item x="152"/>
        <item x="266"/>
        <item x="112"/>
        <item x="172"/>
        <item x="202"/>
        <item x="12"/>
        <item x="257"/>
        <item x="234"/>
        <item x="118"/>
        <item x="214"/>
        <item x="192"/>
        <item x="36"/>
        <item x="92"/>
        <item x="127"/>
        <item x="165"/>
        <item x="224"/>
        <item x="225"/>
        <item x="217"/>
        <item x="97"/>
        <item x="61"/>
        <item x="13"/>
        <item x="233"/>
        <item x="91"/>
        <item x="238"/>
        <item x="3"/>
        <item x="90"/>
        <item x="42"/>
        <item x="24"/>
        <item x="232"/>
        <item x="70"/>
        <item x="0"/>
        <item x="142"/>
        <item x="166"/>
        <item x="126"/>
        <item x="182"/>
        <item x="59"/>
        <item x="41"/>
        <item x="69"/>
        <item x="48"/>
        <item x="129"/>
        <item x="169"/>
        <item x="83"/>
        <item x="276"/>
        <item x="25"/>
        <item x="68"/>
        <item x="151"/>
        <item x="206"/>
        <item x="23"/>
        <item x="26"/>
        <item x="1"/>
        <item x="226"/>
        <item x="50"/>
        <item x="252"/>
        <item x="253"/>
        <item x="174"/>
        <item x="244"/>
        <item x="72"/>
        <item x="213"/>
        <item x="10"/>
        <item x="135"/>
        <item x="188"/>
        <item x="176"/>
        <item x="28"/>
        <item x="98"/>
        <item x="279"/>
        <item x="261"/>
        <item x="198"/>
        <item x="184"/>
        <item x="179"/>
        <item x="245"/>
        <item x="219"/>
        <item x="246"/>
        <item x="105"/>
        <item x="45"/>
        <item x="77"/>
        <item x="177"/>
        <item x="125"/>
        <item x="235"/>
        <item x="181"/>
        <item x="99"/>
        <item x="134"/>
        <item x="137"/>
        <item x="242"/>
        <item x="197"/>
        <item x="223"/>
        <item x="254"/>
        <item x="106"/>
        <item x="158"/>
        <item x="51"/>
        <item x="133"/>
        <item x="58"/>
        <item x="153"/>
        <item x="138"/>
        <item x="146"/>
        <item x="241"/>
        <item x="102"/>
        <item x="87"/>
        <item x="262"/>
        <item x="16"/>
        <item x="221"/>
        <item x="21"/>
        <item x="236"/>
        <item x="269"/>
        <item x="260"/>
        <item x="44"/>
        <item x="85"/>
        <item x="136"/>
        <item x="119"/>
        <item x="229"/>
        <item x="147"/>
        <item x="274"/>
        <item x="115"/>
        <item x="271"/>
        <item x="272"/>
        <item x="208"/>
        <item x="143"/>
        <item x="104"/>
        <item x="212"/>
        <item x="228"/>
        <item x="117"/>
        <item x="144"/>
        <item x="170"/>
        <item x="231"/>
        <item x="263"/>
        <item x="178"/>
        <item x="19"/>
        <item x="265"/>
        <item x="11"/>
        <item x="281"/>
        <item x="183"/>
        <item x="216"/>
        <item x="22"/>
        <item x="196"/>
        <item x="114"/>
        <item x="264"/>
        <item x="149"/>
        <item x="284"/>
        <item x="5"/>
        <item x="247"/>
        <item x="267"/>
        <item x="258"/>
        <item x="273"/>
        <item x="201"/>
        <item x="47"/>
        <item x="222"/>
        <item x="29"/>
        <item x="164"/>
        <item x="282"/>
        <item x="9"/>
        <item x="237"/>
        <item x="205"/>
        <item x="130"/>
        <item x="248"/>
        <item x="211"/>
        <item x="193"/>
        <item x="277"/>
        <item t="default"/>
      </items>
    </pivotField>
    <pivotField compact="0" showAll="0"/>
    <pivotField compact="0" showAll="0"/>
    <pivotField compact="0" showAll="0"/>
    <pivotField compact="0" showAll="0">
      <items count="16">
        <item x="2"/>
        <item x="5"/>
        <item x="3"/>
        <item x="0"/>
        <item x="1"/>
        <item x="9"/>
        <item x="11"/>
        <item x="13"/>
        <item x="14"/>
        <item x="6"/>
        <item x="8"/>
        <item x="12"/>
        <item x="7"/>
        <item x="10"/>
        <item x="4"/>
        <item t="default"/>
      </items>
    </pivotField>
    <pivotField axis="axisRow" compact="0" showAll="0">
      <items count="16">
        <item x="13"/>
        <item x="14"/>
        <item x="5"/>
        <item x="11"/>
        <item x="9"/>
        <item x="6"/>
        <item x="8"/>
        <item x="2"/>
        <item x="12"/>
        <item x="7"/>
        <item x="0"/>
        <item x="1"/>
        <item x="10"/>
        <item x="4"/>
        <item x="3"/>
        <item t="default"/>
      </items>
    </pivotField>
    <pivotField axis="axisPage" compact="0" multipleItemSelectionAllowed="1" showAll="0">
      <items count="4">
        <item h="1" x="2"/>
        <item h="1" x="0"/>
        <item x="1"/>
        <item t="default"/>
      </items>
    </pivotField>
    <pivotField compact="0" showAll="0"/>
    <pivotField compact="0" showAll="0"/>
    <pivotField compact="0" showAll="0"/>
  </pivotFields>
  <rowFields count="2">
    <field x="11"/>
    <field x="4"/>
  </rowFields>
  <rowItems count="26">
    <i>
      <x v="2"/>
    </i>
    <i r="1">
      <x v="82"/>
    </i>
    <i r="1">
      <x v="84"/>
    </i>
    <i>
      <x v="4"/>
    </i>
    <i r="1">
      <x v="53"/>
    </i>
    <i r="1">
      <x v="57"/>
    </i>
    <i>
      <x v="5"/>
    </i>
    <i r="1">
      <x v="3"/>
    </i>
    <i r="1">
      <x v="4"/>
    </i>
    <i r="1">
      <x v="5"/>
    </i>
    <i>
      <x v="6"/>
    </i>
    <i r="1">
      <x v="36"/>
    </i>
    <i>
      <x v="9"/>
    </i>
    <i r="1">
      <x v="11"/>
    </i>
    <i r="1">
      <x v="23"/>
    </i>
    <i r="1">
      <x v="62"/>
    </i>
    <i>
      <x v="10"/>
    </i>
    <i r="1">
      <x v="31"/>
    </i>
    <i r="1">
      <x v="34"/>
    </i>
    <i>
      <x v="11"/>
    </i>
    <i r="1">
      <x v="77"/>
    </i>
    <i>
      <x v="12"/>
    </i>
    <i r="1">
      <x v="59"/>
    </i>
    <i>
      <x v="13"/>
    </i>
    <i r="1">
      <x v="60"/>
    </i>
    <i t="grand">
      <x/>
    </i>
  </rowItems>
  <colItems count="1">
    <i/>
  </colItems>
  <pageFields count="2">
    <pageField fld="1" item="0"/>
    <pageField fld="12"/>
  </pageFields>
  <dataFields count="1">
    <dataField name="求和项:数量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D18"/>
  <sheetViews>
    <sheetView workbookViewId="0">
      <selection activeCell="G13" sqref="G13"/>
    </sheetView>
  </sheetViews>
  <sheetFormatPr defaultColWidth="9" defaultRowHeight="13.5" outlineLevelCol="3"/>
  <cols>
    <col min="2" max="2" width="26.1083333333333" customWidth="1"/>
    <col min="4" max="4" width="10.4416666666667" customWidth="1"/>
  </cols>
  <sheetData>
    <row r="2" ht="18.9" customHeight="1" spans="2:4">
      <c r="B2" s="220" t="s">
        <v>0</v>
      </c>
      <c r="C2" s="221" t="s">
        <v>1</v>
      </c>
      <c r="D2" s="222" t="s">
        <v>2</v>
      </c>
    </row>
    <row r="3" ht="18.9" customHeight="1" spans="2:4">
      <c r="B3" s="221" t="s">
        <v>3</v>
      </c>
      <c r="C3" s="221"/>
      <c r="D3" s="223"/>
    </row>
    <row r="4" ht="18.9" customHeight="1" spans="2:4">
      <c r="B4" s="220" t="s">
        <v>4</v>
      </c>
      <c r="C4" s="6" t="s">
        <v>1</v>
      </c>
      <c r="D4" s="223"/>
    </row>
    <row r="5" ht="18.9" customHeight="1" spans="2:4">
      <c r="B5" s="220" t="s">
        <v>5</v>
      </c>
      <c r="C5" s="6" t="s">
        <v>1</v>
      </c>
      <c r="D5" s="223"/>
    </row>
    <row r="6" ht="18.9" customHeight="1" spans="2:4">
      <c r="B6" s="220" t="s">
        <v>6</v>
      </c>
      <c r="C6" s="224" t="s">
        <v>1</v>
      </c>
      <c r="D6" s="223"/>
    </row>
    <row r="7" ht="18.9" customHeight="1" spans="2:4">
      <c r="B7" s="220" t="s">
        <v>7</v>
      </c>
      <c r="C7" s="224" t="s">
        <v>1</v>
      </c>
      <c r="D7" s="223"/>
    </row>
    <row r="8" ht="18.9" customHeight="1" spans="2:4">
      <c r="B8" s="220" t="s">
        <v>8</v>
      </c>
      <c r="C8" s="224" t="s">
        <v>1</v>
      </c>
      <c r="D8" s="225"/>
    </row>
    <row r="9" ht="48" customHeight="1" spans="2:4">
      <c r="B9" s="226"/>
      <c r="C9" s="226"/>
      <c r="D9" s="227"/>
    </row>
    <row r="10" ht="18" customHeight="1" spans="2:4">
      <c r="B10" s="220" t="s">
        <v>9</v>
      </c>
      <c r="C10" s="221" t="s">
        <v>1</v>
      </c>
      <c r="D10" s="228" t="s">
        <v>10</v>
      </c>
    </row>
    <row r="11" ht="18" customHeight="1" spans="2:4">
      <c r="B11" s="220" t="s">
        <v>11</v>
      </c>
      <c r="C11" s="221" t="s">
        <v>1</v>
      </c>
      <c r="D11" s="228"/>
    </row>
    <row r="12" ht="18" customHeight="1" spans="2:4">
      <c r="B12" s="220" t="s">
        <v>12</v>
      </c>
      <c r="C12" s="221" t="s">
        <v>1</v>
      </c>
      <c r="D12" s="228"/>
    </row>
    <row r="13" ht="18" customHeight="1" spans="2:4">
      <c r="B13" s="220" t="s">
        <v>13</v>
      </c>
      <c r="C13" s="221" t="s">
        <v>1</v>
      </c>
      <c r="D13" s="228"/>
    </row>
    <row r="14" ht="14.25" spans="2:3">
      <c r="B14" s="229"/>
      <c r="C14" s="229"/>
    </row>
    <row r="15" ht="14.25" spans="2:3">
      <c r="B15" s="229"/>
      <c r="C15" s="229"/>
    </row>
    <row r="16" ht="14.25" spans="2:3">
      <c r="B16" s="229"/>
      <c r="C16" s="229"/>
    </row>
    <row r="17" ht="14.25" spans="2:3">
      <c r="B17" s="229"/>
      <c r="C17" s="229"/>
    </row>
    <row r="18" ht="14.25" spans="2:3">
      <c r="B18" s="229"/>
      <c r="C18" s="229"/>
    </row>
  </sheetData>
  <mergeCells count="2">
    <mergeCell ref="D2:D8"/>
    <mergeCell ref="D10:D13"/>
  </mergeCells>
  <hyperlinks>
    <hyperlink ref="C2" location="供应商清单!A1" display="连接"/>
    <hyperlink ref="C10" location="量产日报表!A1" display="连接"/>
    <hyperlink ref="C11" location="生产进度日报表!A1" display="连接"/>
    <hyperlink ref="C12" location="模具及PPAP日报表!A1" display="连接"/>
    <hyperlink ref="C13" location="供应商每日情报收集!A1" display="连接"/>
    <hyperlink ref="C6" location="授予料号!A1" display="连接"/>
    <hyperlink ref="C4" location="未交清清单!A1" display="连接"/>
    <hyperlink ref="C7" location="广州海鸥住宅工业股份有限公司!A1" display="连接"/>
    <hyperlink ref="C8" location="珠海承鸥卫浴用品有限公司!A1" display="连接"/>
    <hyperlink ref="B3" location="基础数据!A1" display="订单汇总"/>
    <hyperlink ref="C5" location="'7月入仓汇总'!A1" display="连接"/>
  </hyperlink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T116"/>
  <sheetViews>
    <sheetView workbookViewId="0">
      <pane ySplit="4" topLeftCell="A5" activePane="bottomLeft" state="frozen"/>
      <selection/>
      <selection pane="bottomLeft" activeCell="J72" sqref="J72"/>
    </sheetView>
  </sheetViews>
  <sheetFormatPr defaultColWidth="9" defaultRowHeight="13.5"/>
  <cols>
    <col min="1" max="1" width="6" style="140" customWidth="1"/>
    <col min="2" max="2" width="10.3833333333333" style="140" customWidth="1"/>
    <col min="3" max="3" width="10.75" style="140" customWidth="1"/>
    <col min="4" max="4" width="6.38333333333333" style="141" customWidth="1"/>
    <col min="5" max="5" width="6" style="141" customWidth="1"/>
    <col min="6" max="6" width="7.13333333333333" style="141" customWidth="1"/>
    <col min="7" max="7" width="12.25" style="140" customWidth="1"/>
    <col min="8" max="8" width="11.5" style="141" hidden="1" customWidth="1"/>
    <col min="9" max="9" width="14.6333333333333" style="141" hidden="1" customWidth="1"/>
    <col min="10" max="10" width="11.3833333333333" style="141" customWidth="1"/>
    <col min="11" max="11" width="12.3833333333333" style="142" customWidth="1"/>
    <col min="12" max="12" width="37.1333333333333" style="143" customWidth="1"/>
    <col min="13" max="13" width="14.8833333333333" style="140" hidden="1" customWidth="1"/>
    <col min="14" max="17" width="12.3833333333333" style="144" hidden="1" customWidth="1"/>
    <col min="18" max="19" width="9" style="144" hidden="1" customWidth="1"/>
    <col min="20" max="20" width="8.88333333333333" style="140" customWidth="1"/>
    <col min="21" max="16384" width="9" style="140"/>
  </cols>
  <sheetData>
    <row r="1" spans="1:5">
      <c r="A1" s="145" t="s">
        <v>14</v>
      </c>
      <c r="B1" s="145"/>
      <c r="C1" s="145"/>
      <c r="D1" s="146"/>
      <c r="E1" s="146"/>
    </row>
    <row r="2" s="137" customFormat="1" ht="28.35" customHeight="1" spans="1:20">
      <c r="A2" s="147" t="s">
        <v>390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54"/>
      <c r="M2" s="155"/>
      <c r="N2" s="155"/>
      <c r="O2" s="155"/>
      <c r="P2" s="155"/>
      <c r="Q2" s="155"/>
      <c r="R2" s="155"/>
      <c r="S2" s="155"/>
      <c r="T2" s="161"/>
    </row>
    <row r="3" s="138" customFormat="1" ht="24.6" customHeight="1" spans="1:20">
      <c r="A3" s="148" t="s">
        <v>285</v>
      </c>
      <c r="B3" s="149" t="s">
        <v>391</v>
      </c>
      <c r="C3" s="149" t="s">
        <v>392</v>
      </c>
      <c r="D3" s="150" t="s">
        <v>360</v>
      </c>
      <c r="E3" s="150" t="s">
        <v>393</v>
      </c>
      <c r="F3" s="148" t="s">
        <v>292</v>
      </c>
      <c r="G3" s="148" t="s">
        <v>177</v>
      </c>
      <c r="H3" s="148" t="s">
        <v>394</v>
      </c>
      <c r="I3" s="148" t="s">
        <v>395</v>
      </c>
      <c r="J3" s="148" t="s">
        <v>396</v>
      </c>
      <c r="K3" s="150" t="s">
        <v>397</v>
      </c>
      <c r="L3" s="150" t="s">
        <v>398</v>
      </c>
      <c r="M3" s="156" t="s">
        <v>399</v>
      </c>
      <c r="N3" s="157" t="s">
        <v>400</v>
      </c>
      <c r="O3" s="157"/>
      <c r="P3" s="157" t="s">
        <v>401</v>
      </c>
      <c r="Q3" s="157"/>
      <c r="R3" s="160" t="s">
        <v>402</v>
      </c>
      <c r="S3" s="160" t="s">
        <v>403</v>
      </c>
      <c r="T3" s="148" t="s">
        <v>404</v>
      </c>
    </row>
    <row r="4" s="138" customFormat="1" ht="24.6" customHeight="1" spans="1:20">
      <c r="A4" s="148"/>
      <c r="B4" s="151"/>
      <c r="C4" s="151"/>
      <c r="D4" s="150"/>
      <c r="E4" s="150"/>
      <c r="F4" s="148"/>
      <c r="G4" s="148"/>
      <c r="H4" s="148"/>
      <c r="I4" s="148"/>
      <c r="J4" s="148"/>
      <c r="K4" s="150"/>
      <c r="L4" s="150"/>
      <c r="M4" s="156" t="s">
        <v>405</v>
      </c>
      <c r="N4" s="157" t="s">
        <v>406</v>
      </c>
      <c r="O4" s="157" t="s">
        <v>407</v>
      </c>
      <c r="P4" s="157" t="s">
        <v>408</v>
      </c>
      <c r="Q4" s="157" t="s">
        <v>409</v>
      </c>
      <c r="R4" s="160"/>
      <c r="S4" s="160"/>
      <c r="T4" s="148"/>
    </row>
    <row r="5" s="139" customFormat="1" ht="18" hidden="1" customHeight="1" spans="1:20">
      <c r="A5" s="117">
        <v>1</v>
      </c>
      <c r="B5" s="117"/>
      <c r="C5" s="117"/>
      <c r="D5" s="148" t="s">
        <v>27</v>
      </c>
      <c r="E5" s="148" t="s">
        <v>410</v>
      </c>
      <c r="F5" s="148" t="s">
        <v>52</v>
      </c>
      <c r="G5" s="152" t="s">
        <v>102</v>
      </c>
      <c r="H5" s="153">
        <v>44354</v>
      </c>
      <c r="I5" s="153" t="s">
        <v>411</v>
      </c>
      <c r="J5" s="153" t="s">
        <v>401</v>
      </c>
      <c r="K5" s="158"/>
      <c r="L5" s="158" t="s">
        <v>412</v>
      </c>
      <c r="M5" s="132"/>
      <c r="N5" s="159"/>
      <c r="O5" s="159"/>
      <c r="P5" s="159" t="s">
        <v>413</v>
      </c>
      <c r="Q5" s="159">
        <v>44392</v>
      </c>
      <c r="R5" s="159"/>
      <c r="S5" s="159"/>
      <c r="T5" s="162"/>
    </row>
    <row r="6" s="139" customFormat="1" ht="18" hidden="1" customHeight="1" spans="1:20">
      <c r="A6" s="117">
        <v>2</v>
      </c>
      <c r="B6" s="117"/>
      <c r="C6" s="117"/>
      <c r="D6" s="148" t="s">
        <v>27</v>
      </c>
      <c r="E6" s="148" t="s">
        <v>414</v>
      </c>
      <c r="F6" s="148" t="s">
        <v>52</v>
      </c>
      <c r="G6" s="152" t="s">
        <v>64</v>
      </c>
      <c r="H6" s="153">
        <v>44355</v>
      </c>
      <c r="I6" s="153" t="s">
        <v>415</v>
      </c>
      <c r="J6" s="153" t="s">
        <v>401</v>
      </c>
      <c r="K6" s="158" t="s">
        <v>416</v>
      </c>
      <c r="L6" s="158" t="s">
        <v>417</v>
      </c>
      <c r="M6" s="132"/>
      <c r="N6" s="159"/>
      <c r="O6" s="159">
        <v>44358</v>
      </c>
      <c r="P6" s="159" t="s">
        <v>413</v>
      </c>
      <c r="Q6" s="159">
        <v>44392</v>
      </c>
      <c r="R6" s="159">
        <v>44364</v>
      </c>
      <c r="S6" s="159">
        <v>44364</v>
      </c>
      <c r="T6" s="159" t="s">
        <v>418</v>
      </c>
    </row>
    <row r="7" s="139" customFormat="1" ht="18" hidden="1" customHeight="1" spans="1:20">
      <c r="A7" s="117">
        <v>3</v>
      </c>
      <c r="B7" s="117"/>
      <c r="C7" s="117"/>
      <c r="D7" s="148" t="s">
        <v>27</v>
      </c>
      <c r="E7" s="148" t="s">
        <v>414</v>
      </c>
      <c r="F7" s="148" t="s">
        <v>52</v>
      </c>
      <c r="G7" s="152" t="s">
        <v>65</v>
      </c>
      <c r="H7" s="153">
        <v>44355</v>
      </c>
      <c r="I7" s="153" t="s">
        <v>415</v>
      </c>
      <c r="J7" s="153" t="s">
        <v>401</v>
      </c>
      <c r="K7" s="158" t="s">
        <v>419</v>
      </c>
      <c r="L7" s="158" t="s">
        <v>417</v>
      </c>
      <c r="M7" s="132"/>
      <c r="N7" s="159"/>
      <c r="O7" s="159">
        <v>44358</v>
      </c>
      <c r="P7" s="159" t="s">
        <v>413</v>
      </c>
      <c r="Q7" s="159">
        <v>44392</v>
      </c>
      <c r="R7" s="159">
        <v>44363</v>
      </c>
      <c r="S7" s="159">
        <v>44363</v>
      </c>
      <c r="T7" s="159" t="s">
        <v>418</v>
      </c>
    </row>
    <row r="8" s="139" customFormat="1" ht="18" hidden="1" customHeight="1" spans="1:20">
      <c r="A8" s="117">
        <v>4</v>
      </c>
      <c r="B8" s="117"/>
      <c r="C8" s="117"/>
      <c r="D8" s="148" t="s">
        <v>27</v>
      </c>
      <c r="E8" s="148" t="s">
        <v>414</v>
      </c>
      <c r="F8" s="148" t="s">
        <v>39</v>
      </c>
      <c r="G8" s="152" t="s">
        <v>420</v>
      </c>
      <c r="H8" s="153">
        <v>44293</v>
      </c>
      <c r="I8" s="153" t="s">
        <v>411</v>
      </c>
      <c r="J8" s="153" t="s">
        <v>400</v>
      </c>
      <c r="K8" s="158"/>
      <c r="L8" s="158"/>
      <c r="M8" s="132"/>
      <c r="N8" s="159"/>
      <c r="O8" s="159"/>
      <c r="P8" s="159"/>
      <c r="Q8" s="159"/>
      <c r="R8" s="159"/>
      <c r="S8" s="159"/>
      <c r="T8" s="162"/>
    </row>
    <row r="9" s="139" customFormat="1" ht="18" hidden="1" customHeight="1" spans="1:20">
      <c r="A9" s="117">
        <v>5</v>
      </c>
      <c r="B9" s="117"/>
      <c r="C9" s="117"/>
      <c r="D9" s="148" t="s">
        <v>27</v>
      </c>
      <c r="E9" s="148" t="s">
        <v>414</v>
      </c>
      <c r="F9" s="148" t="s">
        <v>39</v>
      </c>
      <c r="G9" s="152" t="s">
        <v>421</v>
      </c>
      <c r="H9" s="153">
        <v>44281</v>
      </c>
      <c r="I9" s="153" t="s">
        <v>422</v>
      </c>
      <c r="J9" s="153" t="s">
        <v>400</v>
      </c>
      <c r="K9" s="158"/>
      <c r="L9" s="158"/>
      <c r="M9" s="132"/>
      <c r="N9" s="159"/>
      <c r="O9" s="159">
        <v>44293</v>
      </c>
      <c r="P9" s="159"/>
      <c r="Q9" s="159"/>
      <c r="R9" s="159"/>
      <c r="S9" s="159"/>
      <c r="T9" s="162"/>
    </row>
    <row r="10" s="139" customFormat="1" ht="18" hidden="1" customHeight="1" spans="1:20">
      <c r="A10" s="117">
        <v>6</v>
      </c>
      <c r="B10" s="117"/>
      <c r="C10" s="117"/>
      <c r="D10" s="148" t="s">
        <v>27</v>
      </c>
      <c r="E10" s="148" t="s">
        <v>414</v>
      </c>
      <c r="F10" s="148" t="s">
        <v>39</v>
      </c>
      <c r="G10" s="152" t="s">
        <v>423</v>
      </c>
      <c r="H10" s="153">
        <v>44281</v>
      </c>
      <c r="I10" s="153" t="s">
        <v>411</v>
      </c>
      <c r="J10" s="153" t="s">
        <v>400</v>
      </c>
      <c r="K10" s="158"/>
      <c r="L10" s="158"/>
      <c r="M10" s="132"/>
      <c r="N10" s="159"/>
      <c r="O10" s="159"/>
      <c r="P10" s="159"/>
      <c r="Q10" s="159"/>
      <c r="R10" s="159"/>
      <c r="S10" s="159"/>
      <c r="T10" s="162"/>
    </row>
    <row r="11" s="139" customFormat="1" ht="18" hidden="1" customHeight="1" spans="1:20">
      <c r="A11" s="117">
        <v>7</v>
      </c>
      <c r="B11" s="117"/>
      <c r="C11" s="117"/>
      <c r="D11" s="148" t="s">
        <v>27</v>
      </c>
      <c r="E11" s="148" t="s">
        <v>414</v>
      </c>
      <c r="F11" s="148" t="s">
        <v>39</v>
      </c>
      <c r="G11" s="152" t="s">
        <v>424</v>
      </c>
      <c r="H11" s="153">
        <v>44278</v>
      </c>
      <c r="I11" s="153" t="s">
        <v>422</v>
      </c>
      <c r="J11" s="153" t="s">
        <v>400</v>
      </c>
      <c r="K11" s="158"/>
      <c r="L11" s="158"/>
      <c r="M11" s="132"/>
      <c r="N11" s="159"/>
      <c r="O11" s="159">
        <v>44293</v>
      </c>
      <c r="P11" s="159"/>
      <c r="Q11" s="159"/>
      <c r="R11" s="159"/>
      <c r="S11" s="159"/>
      <c r="T11" s="162"/>
    </row>
    <row r="12" s="139" customFormat="1" ht="18" hidden="1" customHeight="1" spans="1:20">
      <c r="A12" s="117">
        <v>8</v>
      </c>
      <c r="B12" s="117"/>
      <c r="C12" s="117"/>
      <c r="D12" s="148" t="s">
        <v>27</v>
      </c>
      <c r="E12" s="148" t="s">
        <v>414</v>
      </c>
      <c r="F12" s="148" t="s">
        <v>39</v>
      </c>
      <c r="G12" s="152" t="s">
        <v>425</v>
      </c>
      <c r="H12" s="153">
        <v>44278</v>
      </c>
      <c r="I12" s="153" t="s">
        <v>411</v>
      </c>
      <c r="J12" s="153" t="s">
        <v>400</v>
      </c>
      <c r="K12" s="158"/>
      <c r="L12" s="158"/>
      <c r="M12" s="132"/>
      <c r="N12" s="159"/>
      <c r="O12" s="159"/>
      <c r="P12" s="159"/>
      <c r="Q12" s="159"/>
      <c r="R12" s="159"/>
      <c r="S12" s="159"/>
      <c r="T12" s="162"/>
    </row>
    <row r="13" s="139" customFormat="1" ht="18" hidden="1" customHeight="1" spans="1:20">
      <c r="A13" s="117">
        <v>9</v>
      </c>
      <c r="B13" s="117"/>
      <c r="C13" s="117"/>
      <c r="D13" s="148" t="s">
        <v>27</v>
      </c>
      <c r="E13" s="148" t="s">
        <v>414</v>
      </c>
      <c r="F13" s="148" t="s">
        <v>39</v>
      </c>
      <c r="G13" s="152" t="s">
        <v>426</v>
      </c>
      <c r="H13" s="153">
        <v>44278</v>
      </c>
      <c r="I13" s="153" t="s">
        <v>411</v>
      </c>
      <c r="J13" s="153" t="s">
        <v>400</v>
      </c>
      <c r="K13" s="158"/>
      <c r="L13" s="158"/>
      <c r="M13" s="132"/>
      <c r="N13" s="160"/>
      <c r="O13" s="159"/>
      <c r="P13" s="160"/>
      <c r="Q13" s="160"/>
      <c r="R13" s="160"/>
      <c r="S13" s="160"/>
      <c r="T13" s="163"/>
    </row>
    <row r="14" s="139" customFormat="1" ht="18" hidden="1" customHeight="1" spans="1:20">
      <c r="A14" s="117">
        <v>10</v>
      </c>
      <c r="B14" s="117"/>
      <c r="C14" s="117"/>
      <c r="D14" s="148" t="s">
        <v>27</v>
      </c>
      <c r="E14" s="148" t="s">
        <v>414</v>
      </c>
      <c r="F14" s="148" t="s">
        <v>39</v>
      </c>
      <c r="G14" s="152" t="s">
        <v>427</v>
      </c>
      <c r="H14" s="153">
        <v>44278</v>
      </c>
      <c r="I14" s="153" t="s">
        <v>411</v>
      </c>
      <c r="J14" s="153" t="s">
        <v>400</v>
      </c>
      <c r="K14" s="158"/>
      <c r="L14" s="158"/>
      <c r="M14" s="132"/>
      <c r="N14" s="160"/>
      <c r="O14" s="159"/>
      <c r="P14" s="160"/>
      <c r="Q14" s="160"/>
      <c r="R14" s="160"/>
      <c r="S14" s="160"/>
      <c r="T14" s="163"/>
    </row>
    <row r="15" s="139" customFormat="1" ht="18" hidden="1" customHeight="1" spans="1:20">
      <c r="A15" s="117">
        <v>11</v>
      </c>
      <c r="B15" s="117"/>
      <c r="C15" s="117"/>
      <c r="D15" s="148" t="s">
        <v>27</v>
      </c>
      <c r="E15" s="148" t="s">
        <v>414</v>
      </c>
      <c r="F15" s="148" t="s">
        <v>39</v>
      </c>
      <c r="G15" s="152" t="s">
        <v>428</v>
      </c>
      <c r="H15" s="153">
        <v>44280</v>
      </c>
      <c r="I15" s="153" t="s">
        <v>411</v>
      </c>
      <c r="J15" s="153" t="s">
        <v>400</v>
      </c>
      <c r="K15" s="158"/>
      <c r="L15" s="158"/>
      <c r="M15" s="132"/>
      <c r="N15" s="160"/>
      <c r="O15" s="159"/>
      <c r="P15" s="160"/>
      <c r="Q15" s="160"/>
      <c r="R15" s="160"/>
      <c r="S15" s="160"/>
      <c r="T15" s="163"/>
    </row>
    <row r="16" s="139" customFormat="1" ht="18" hidden="1" customHeight="1" spans="1:20">
      <c r="A16" s="117">
        <v>12</v>
      </c>
      <c r="B16" s="117"/>
      <c r="C16" s="117"/>
      <c r="D16" s="148" t="s">
        <v>27</v>
      </c>
      <c r="E16" s="148" t="s">
        <v>414</v>
      </c>
      <c r="F16" s="148" t="s">
        <v>39</v>
      </c>
      <c r="G16" s="152" t="s">
        <v>429</v>
      </c>
      <c r="H16" s="153">
        <v>44280</v>
      </c>
      <c r="I16" s="153" t="s">
        <v>411</v>
      </c>
      <c r="J16" s="153" t="s">
        <v>400</v>
      </c>
      <c r="K16" s="158"/>
      <c r="L16" s="158"/>
      <c r="M16" s="132"/>
      <c r="N16" s="160"/>
      <c r="O16" s="159"/>
      <c r="P16" s="160"/>
      <c r="Q16" s="160"/>
      <c r="R16" s="160"/>
      <c r="S16" s="160"/>
      <c r="T16" s="163"/>
    </row>
    <row r="17" s="139" customFormat="1" ht="18" hidden="1" customHeight="1" spans="1:20">
      <c r="A17" s="117">
        <v>13</v>
      </c>
      <c r="B17" s="117"/>
      <c r="C17" s="117"/>
      <c r="D17" s="148" t="s">
        <v>27</v>
      </c>
      <c r="E17" s="148" t="s">
        <v>414</v>
      </c>
      <c r="F17" s="148" t="s">
        <v>39</v>
      </c>
      <c r="G17" s="152" t="s">
        <v>430</v>
      </c>
      <c r="H17" s="153">
        <v>44310</v>
      </c>
      <c r="I17" s="153" t="s">
        <v>411</v>
      </c>
      <c r="J17" s="153" t="s">
        <v>400</v>
      </c>
      <c r="K17" s="158"/>
      <c r="L17" s="158"/>
      <c r="M17" s="132"/>
      <c r="N17" s="160"/>
      <c r="O17" s="159"/>
      <c r="P17" s="160"/>
      <c r="Q17" s="160"/>
      <c r="R17" s="160"/>
      <c r="S17" s="160"/>
      <c r="T17" s="163"/>
    </row>
    <row r="18" s="139" customFormat="1" ht="18" hidden="1" customHeight="1" spans="1:20">
      <c r="A18" s="117">
        <v>14</v>
      </c>
      <c r="B18" s="117"/>
      <c r="C18" s="117"/>
      <c r="D18" s="148" t="s">
        <v>27</v>
      </c>
      <c r="E18" s="148" t="s">
        <v>414</v>
      </c>
      <c r="F18" s="148" t="s">
        <v>39</v>
      </c>
      <c r="G18" s="152" t="s">
        <v>431</v>
      </c>
      <c r="H18" s="153">
        <v>44278</v>
      </c>
      <c r="I18" s="153" t="s">
        <v>422</v>
      </c>
      <c r="J18" s="153" t="s">
        <v>400</v>
      </c>
      <c r="K18" s="158"/>
      <c r="L18" s="158"/>
      <c r="M18" s="132"/>
      <c r="N18" s="160"/>
      <c r="O18" s="159">
        <v>44383</v>
      </c>
      <c r="P18" s="160"/>
      <c r="Q18" s="160"/>
      <c r="R18" s="160"/>
      <c r="S18" s="160"/>
      <c r="T18" s="163"/>
    </row>
    <row r="19" s="139" customFormat="1" ht="18" hidden="1" customHeight="1" spans="1:20">
      <c r="A19" s="117">
        <v>15</v>
      </c>
      <c r="B19" s="117"/>
      <c r="C19" s="117"/>
      <c r="D19" s="148" t="s">
        <v>27</v>
      </c>
      <c r="E19" s="148" t="s">
        <v>414</v>
      </c>
      <c r="F19" s="148" t="s">
        <v>39</v>
      </c>
      <c r="G19" s="152" t="s">
        <v>432</v>
      </c>
      <c r="H19" s="153">
        <v>44280</v>
      </c>
      <c r="I19" s="153" t="s">
        <v>422</v>
      </c>
      <c r="J19" s="153" t="s">
        <v>400</v>
      </c>
      <c r="K19" s="158"/>
      <c r="L19" s="158"/>
      <c r="M19" s="132"/>
      <c r="N19" s="160"/>
      <c r="O19" s="159">
        <v>44197</v>
      </c>
      <c r="P19" s="160"/>
      <c r="Q19" s="160"/>
      <c r="R19" s="160"/>
      <c r="S19" s="160"/>
      <c r="T19" s="163"/>
    </row>
    <row r="20" s="139" customFormat="1" ht="18" hidden="1" customHeight="1" spans="1:20">
      <c r="A20" s="117">
        <v>16</v>
      </c>
      <c r="B20" s="117"/>
      <c r="C20" s="117"/>
      <c r="D20" s="148" t="s">
        <v>27</v>
      </c>
      <c r="E20" s="148" t="s">
        <v>414</v>
      </c>
      <c r="F20" s="148" t="s">
        <v>39</v>
      </c>
      <c r="G20" s="152" t="s">
        <v>433</v>
      </c>
      <c r="H20" s="153">
        <v>44281</v>
      </c>
      <c r="I20" s="153" t="s">
        <v>411</v>
      </c>
      <c r="J20" s="153" t="s">
        <v>400</v>
      </c>
      <c r="K20" s="158"/>
      <c r="L20" s="158"/>
      <c r="M20" s="132"/>
      <c r="N20" s="160"/>
      <c r="O20" s="159"/>
      <c r="P20" s="160"/>
      <c r="Q20" s="160"/>
      <c r="R20" s="160"/>
      <c r="S20" s="160"/>
      <c r="T20" s="163"/>
    </row>
    <row r="21" s="139" customFormat="1" ht="18" hidden="1" customHeight="1" spans="1:20">
      <c r="A21" s="117">
        <v>17</v>
      </c>
      <c r="B21" s="117"/>
      <c r="C21" s="117"/>
      <c r="D21" s="148" t="s">
        <v>27</v>
      </c>
      <c r="E21" s="148" t="s">
        <v>414</v>
      </c>
      <c r="F21" s="148" t="s">
        <v>39</v>
      </c>
      <c r="G21" s="152" t="s">
        <v>434</v>
      </c>
      <c r="H21" s="153">
        <v>44280</v>
      </c>
      <c r="I21" s="153" t="s">
        <v>411</v>
      </c>
      <c r="J21" s="153" t="s">
        <v>400</v>
      </c>
      <c r="K21" s="158"/>
      <c r="L21" s="158"/>
      <c r="M21" s="132"/>
      <c r="N21" s="160"/>
      <c r="O21" s="159"/>
      <c r="P21" s="160"/>
      <c r="Q21" s="160"/>
      <c r="R21" s="160"/>
      <c r="S21" s="160"/>
      <c r="T21" s="163"/>
    </row>
    <row r="22" s="139" customFormat="1" ht="18" hidden="1" customHeight="1" spans="1:20">
      <c r="A22" s="117">
        <v>18</v>
      </c>
      <c r="B22" s="117"/>
      <c r="C22" s="117"/>
      <c r="D22" s="148" t="s">
        <v>27</v>
      </c>
      <c r="E22" s="148" t="s">
        <v>414</v>
      </c>
      <c r="F22" s="148" t="s">
        <v>39</v>
      </c>
      <c r="G22" s="152" t="s">
        <v>435</v>
      </c>
      <c r="H22" s="153">
        <v>44281</v>
      </c>
      <c r="I22" s="153" t="s">
        <v>411</v>
      </c>
      <c r="J22" s="153" t="s">
        <v>400</v>
      </c>
      <c r="K22" s="158"/>
      <c r="L22" s="158"/>
      <c r="M22" s="132"/>
      <c r="N22" s="160"/>
      <c r="O22" s="159"/>
      <c r="P22" s="160"/>
      <c r="Q22" s="160"/>
      <c r="R22" s="160"/>
      <c r="S22" s="160"/>
      <c r="T22" s="163"/>
    </row>
    <row r="23" s="139" customFormat="1" ht="18" hidden="1" customHeight="1" spans="1:20">
      <c r="A23" s="117">
        <v>19</v>
      </c>
      <c r="B23" s="117"/>
      <c r="C23" s="117"/>
      <c r="D23" s="148" t="s">
        <v>27</v>
      </c>
      <c r="E23" s="148" t="s">
        <v>414</v>
      </c>
      <c r="F23" s="148" t="s">
        <v>39</v>
      </c>
      <c r="G23" s="152" t="s">
        <v>436</v>
      </c>
      <c r="H23" s="153">
        <v>44281</v>
      </c>
      <c r="I23" s="153" t="s">
        <v>411</v>
      </c>
      <c r="J23" s="153" t="s">
        <v>400</v>
      </c>
      <c r="K23" s="158"/>
      <c r="L23" s="158"/>
      <c r="M23" s="132"/>
      <c r="N23" s="160"/>
      <c r="O23" s="159"/>
      <c r="P23" s="160"/>
      <c r="Q23" s="160"/>
      <c r="R23" s="160"/>
      <c r="S23" s="160"/>
      <c r="T23" s="163"/>
    </row>
    <row r="24" s="139" customFormat="1" ht="18" hidden="1" customHeight="1" spans="1:20">
      <c r="A24" s="117">
        <v>20</v>
      </c>
      <c r="B24" s="117"/>
      <c r="C24" s="117"/>
      <c r="D24" s="148" t="s">
        <v>27</v>
      </c>
      <c r="E24" s="148" t="s">
        <v>414</v>
      </c>
      <c r="F24" s="148" t="s">
        <v>39</v>
      </c>
      <c r="G24" s="152" t="s">
        <v>437</v>
      </c>
      <c r="H24" s="153">
        <v>44280</v>
      </c>
      <c r="I24" s="153" t="s">
        <v>411</v>
      </c>
      <c r="J24" s="153" t="s">
        <v>400</v>
      </c>
      <c r="K24" s="158"/>
      <c r="L24" s="158"/>
      <c r="M24" s="132"/>
      <c r="N24" s="160"/>
      <c r="O24" s="159"/>
      <c r="P24" s="160"/>
      <c r="Q24" s="160"/>
      <c r="R24" s="160"/>
      <c r="S24" s="160"/>
      <c r="T24" s="163"/>
    </row>
    <row r="25" s="139" customFormat="1" ht="18" hidden="1" customHeight="1" spans="1:20">
      <c r="A25" s="117">
        <v>21</v>
      </c>
      <c r="B25" s="117"/>
      <c r="C25" s="117"/>
      <c r="D25" s="148" t="s">
        <v>27</v>
      </c>
      <c r="E25" s="148" t="s">
        <v>414</v>
      </c>
      <c r="F25" s="148" t="s">
        <v>39</v>
      </c>
      <c r="G25" s="152" t="s">
        <v>438</v>
      </c>
      <c r="H25" s="153">
        <v>44281</v>
      </c>
      <c r="I25" s="153" t="s">
        <v>411</v>
      </c>
      <c r="J25" s="153" t="s">
        <v>400</v>
      </c>
      <c r="K25" s="158"/>
      <c r="L25" s="158"/>
      <c r="M25" s="132"/>
      <c r="N25" s="160"/>
      <c r="O25" s="159"/>
      <c r="P25" s="160"/>
      <c r="Q25" s="160"/>
      <c r="R25" s="160"/>
      <c r="S25" s="160"/>
      <c r="T25" s="163"/>
    </row>
    <row r="26" s="139" customFormat="1" ht="18" hidden="1" customHeight="1" spans="1:20">
      <c r="A26" s="117">
        <v>22</v>
      </c>
      <c r="B26" s="117"/>
      <c r="C26" s="117"/>
      <c r="D26" s="148" t="s">
        <v>27</v>
      </c>
      <c r="E26" s="148" t="s">
        <v>414</v>
      </c>
      <c r="F26" s="148" t="s">
        <v>39</v>
      </c>
      <c r="G26" s="152" t="s">
        <v>439</v>
      </c>
      <c r="H26" s="153">
        <v>44281</v>
      </c>
      <c r="I26" s="153" t="s">
        <v>411</v>
      </c>
      <c r="J26" s="153" t="s">
        <v>400</v>
      </c>
      <c r="K26" s="158"/>
      <c r="L26" s="158"/>
      <c r="M26" s="132"/>
      <c r="N26" s="160"/>
      <c r="O26" s="159"/>
      <c r="P26" s="160"/>
      <c r="Q26" s="160"/>
      <c r="R26" s="160"/>
      <c r="S26" s="160"/>
      <c r="T26" s="163"/>
    </row>
    <row r="27" s="139" customFormat="1" ht="18" hidden="1" customHeight="1" spans="1:20">
      <c r="A27" s="117">
        <v>23</v>
      </c>
      <c r="B27" s="117"/>
      <c r="C27" s="117"/>
      <c r="D27" s="148" t="s">
        <v>27</v>
      </c>
      <c r="E27" s="148" t="s">
        <v>414</v>
      </c>
      <c r="F27" s="148" t="s">
        <v>39</v>
      </c>
      <c r="G27" s="152" t="s">
        <v>440</v>
      </c>
      <c r="H27" s="153">
        <v>44280</v>
      </c>
      <c r="I27" s="153" t="s">
        <v>411</v>
      </c>
      <c r="J27" s="153" t="s">
        <v>400</v>
      </c>
      <c r="K27" s="158"/>
      <c r="L27" s="158"/>
      <c r="M27" s="132"/>
      <c r="N27" s="160"/>
      <c r="O27" s="159"/>
      <c r="P27" s="160"/>
      <c r="Q27" s="160"/>
      <c r="R27" s="160"/>
      <c r="S27" s="160"/>
      <c r="T27" s="163"/>
    </row>
    <row r="28" s="139" customFormat="1" ht="18" hidden="1" customHeight="1" spans="1:20">
      <c r="A28" s="117">
        <v>24</v>
      </c>
      <c r="B28" s="117"/>
      <c r="C28" s="117"/>
      <c r="D28" s="148" t="s">
        <v>27</v>
      </c>
      <c r="E28" s="148" t="s">
        <v>441</v>
      </c>
      <c r="F28" s="148" t="s">
        <v>37</v>
      </c>
      <c r="G28" s="152" t="s">
        <v>231</v>
      </c>
      <c r="H28" s="153">
        <v>44264</v>
      </c>
      <c r="I28" s="153" t="s">
        <v>422</v>
      </c>
      <c r="J28" s="153" t="s">
        <v>400</v>
      </c>
      <c r="K28" s="158"/>
      <c r="L28" s="158" t="s">
        <v>442</v>
      </c>
      <c r="M28" s="132"/>
      <c r="N28" s="160"/>
      <c r="O28" s="159">
        <v>44343</v>
      </c>
      <c r="P28" s="160"/>
      <c r="Q28" s="160"/>
      <c r="R28" s="160"/>
      <c r="S28" s="160"/>
      <c r="T28" s="159" t="s">
        <v>418</v>
      </c>
    </row>
    <row r="29" s="139" customFormat="1" ht="18" hidden="1" customHeight="1" spans="1:20">
      <c r="A29" s="117">
        <v>25</v>
      </c>
      <c r="B29" s="117"/>
      <c r="C29" s="117"/>
      <c r="D29" s="148" t="s">
        <v>27</v>
      </c>
      <c r="E29" s="148" t="s">
        <v>441</v>
      </c>
      <c r="F29" s="148" t="s">
        <v>37</v>
      </c>
      <c r="G29" s="152" t="s">
        <v>443</v>
      </c>
      <c r="H29" s="153">
        <v>44285</v>
      </c>
      <c r="I29" s="153" t="s">
        <v>422</v>
      </c>
      <c r="J29" s="153" t="s">
        <v>400</v>
      </c>
      <c r="K29" s="158"/>
      <c r="L29" s="158" t="s">
        <v>444</v>
      </c>
      <c r="M29" s="132"/>
      <c r="N29" s="160"/>
      <c r="O29" s="159">
        <v>44332</v>
      </c>
      <c r="P29" s="160"/>
      <c r="Q29" s="160"/>
      <c r="R29" s="160"/>
      <c r="S29" s="160"/>
      <c r="T29" s="159"/>
    </row>
    <row r="30" s="139" customFormat="1" ht="18" hidden="1" customHeight="1" spans="1:20">
      <c r="A30" s="117">
        <v>26</v>
      </c>
      <c r="B30" s="117"/>
      <c r="C30" s="117"/>
      <c r="D30" s="148" t="s">
        <v>27</v>
      </c>
      <c r="E30" s="148" t="s">
        <v>441</v>
      </c>
      <c r="F30" s="148" t="s">
        <v>37</v>
      </c>
      <c r="G30" s="152" t="s">
        <v>133</v>
      </c>
      <c r="H30" s="153">
        <v>44232</v>
      </c>
      <c r="I30" s="153" t="s">
        <v>415</v>
      </c>
      <c r="J30" s="153" t="s">
        <v>401</v>
      </c>
      <c r="K30" s="158"/>
      <c r="L30" s="158" t="s">
        <v>445</v>
      </c>
      <c r="M30" s="132"/>
      <c r="N30" s="160"/>
      <c r="O30" s="159">
        <v>44237</v>
      </c>
      <c r="P30" s="160"/>
      <c r="Q30" s="160"/>
      <c r="R30" s="159">
        <v>44270</v>
      </c>
      <c r="S30" s="160">
        <v>44270</v>
      </c>
      <c r="T30" s="159" t="s">
        <v>418</v>
      </c>
    </row>
    <row r="31" s="139" customFormat="1" ht="18" hidden="1" customHeight="1" spans="1:20">
      <c r="A31" s="117">
        <v>27</v>
      </c>
      <c r="B31" s="117"/>
      <c r="C31" s="117"/>
      <c r="D31" s="148" t="s">
        <v>27</v>
      </c>
      <c r="E31" s="148" t="s">
        <v>414</v>
      </c>
      <c r="F31" s="148" t="s">
        <v>35</v>
      </c>
      <c r="G31" s="152" t="s">
        <v>446</v>
      </c>
      <c r="H31" s="153">
        <v>44371</v>
      </c>
      <c r="I31" s="153" t="s">
        <v>411</v>
      </c>
      <c r="J31" s="153" t="s">
        <v>447</v>
      </c>
      <c r="K31" s="158" t="s">
        <v>448</v>
      </c>
      <c r="L31" s="158" t="s">
        <v>449</v>
      </c>
      <c r="M31" s="132"/>
      <c r="N31" s="160">
        <v>44395</v>
      </c>
      <c r="O31" s="159"/>
      <c r="P31" s="160"/>
      <c r="Q31" s="160"/>
      <c r="R31" s="160"/>
      <c r="S31" s="160"/>
      <c r="T31" s="163"/>
    </row>
    <row r="32" s="139" customFormat="1" ht="18" hidden="1" customHeight="1" spans="1:20">
      <c r="A32" s="117">
        <v>28</v>
      </c>
      <c r="B32" s="117"/>
      <c r="C32" s="117"/>
      <c r="D32" s="148" t="s">
        <v>27</v>
      </c>
      <c r="E32" s="148" t="s">
        <v>441</v>
      </c>
      <c r="F32" s="148" t="s">
        <v>35</v>
      </c>
      <c r="G32" s="152" t="s">
        <v>109</v>
      </c>
      <c r="H32" s="153">
        <v>44266</v>
      </c>
      <c r="I32" s="153" t="s">
        <v>422</v>
      </c>
      <c r="J32" s="153" t="s">
        <v>400</v>
      </c>
      <c r="K32" s="158"/>
      <c r="L32" s="158" t="s">
        <v>450</v>
      </c>
      <c r="M32" s="132"/>
      <c r="N32" s="160"/>
      <c r="O32" s="159">
        <v>44371</v>
      </c>
      <c r="P32" s="160"/>
      <c r="Q32" s="160"/>
      <c r="R32" s="160"/>
      <c r="S32" s="160"/>
      <c r="T32" s="163"/>
    </row>
    <row r="33" s="139" customFormat="1" ht="18" hidden="1" customHeight="1" spans="1:20">
      <c r="A33" s="117">
        <v>29</v>
      </c>
      <c r="B33" s="117"/>
      <c r="C33" s="117"/>
      <c r="D33" s="148" t="s">
        <v>27</v>
      </c>
      <c r="E33" s="148" t="s">
        <v>441</v>
      </c>
      <c r="F33" s="148" t="s">
        <v>35</v>
      </c>
      <c r="G33" s="152" t="s">
        <v>451</v>
      </c>
      <c r="H33" s="153">
        <v>44371</v>
      </c>
      <c r="I33" s="153" t="s">
        <v>411</v>
      </c>
      <c r="J33" s="153" t="s">
        <v>401</v>
      </c>
      <c r="K33" s="158" t="s">
        <v>452</v>
      </c>
      <c r="L33" s="158" t="s">
        <v>453</v>
      </c>
      <c r="M33" s="132"/>
      <c r="N33" s="160"/>
      <c r="O33" s="159"/>
      <c r="P33" s="160"/>
      <c r="Q33" s="160"/>
      <c r="R33" s="160"/>
      <c r="S33" s="160"/>
      <c r="T33" s="163"/>
    </row>
    <row r="34" s="139" customFormat="1" ht="18" hidden="1" customHeight="1" spans="1:20">
      <c r="A34" s="117">
        <v>30</v>
      </c>
      <c r="B34" s="117"/>
      <c r="C34" s="117"/>
      <c r="D34" s="148" t="s">
        <v>27</v>
      </c>
      <c r="E34" s="148" t="s">
        <v>441</v>
      </c>
      <c r="F34" s="148" t="s">
        <v>35</v>
      </c>
      <c r="G34" s="152" t="s">
        <v>115</v>
      </c>
      <c r="H34" s="153">
        <v>44266</v>
      </c>
      <c r="I34" s="153" t="s">
        <v>422</v>
      </c>
      <c r="J34" s="153" t="s">
        <v>400</v>
      </c>
      <c r="K34" s="158"/>
      <c r="L34" s="158" t="s">
        <v>442</v>
      </c>
      <c r="M34" s="132"/>
      <c r="N34" s="160"/>
      <c r="O34" s="159">
        <v>44357</v>
      </c>
      <c r="P34" s="160"/>
      <c r="Q34" s="160"/>
      <c r="R34" s="160"/>
      <c r="S34" s="160"/>
      <c r="T34" s="159" t="s">
        <v>418</v>
      </c>
    </row>
    <row r="35" s="139" customFormat="1" ht="18" hidden="1" customHeight="1" spans="1:20">
      <c r="A35" s="117">
        <v>31</v>
      </c>
      <c r="B35" s="117"/>
      <c r="C35" s="117"/>
      <c r="D35" s="148" t="s">
        <v>27</v>
      </c>
      <c r="E35" s="148" t="s">
        <v>441</v>
      </c>
      <c r="F35" s="148" t="s">
        <v>35</v>
      </c>
      <c r="G35" s="152" t="s">
        <v>454</v>
      </c>
      <c r="H35" s="153">
        <v>44265</v>
      </c>
      <c r="I35" s="153" t="s">
        <v>422</v>
      </c>
      <c r="J35" s="153" t="s">
        <v>400</v>
      </c>
      <c r="K35" s="158"/>
      <c r="L35" s="158" t="s">
        <v>442</v>
      </c>
      <c r="M35" s="132"/>
      <c r="N35" s="160"/>
      <c r="O35" s="159">
        <v>44265</v>
      </c>
      <c r="P35" s="160"/>
      <c r="Q35" s="160"/>
      <c r="R35" s="160"/>
      <c r="S35" s="160"/>
      <c r="T35" s="159" t="s">
        <v>418</v>
      </c>
    </row>
    <row r="36" s="139" customFormat="1" ht="18" hidden="1" customHeight="1" spans="1:20">
      <c r="A36" s="117">
        <v>32</v>
      </c>
      <c r="B36" s="117"/>
      <c r="C36" s="117"/>
      <c r="D36" s="148" t="s">
        <v>27</v>
      </c>
      <c r="E36" s="148" t="s">
        <v>441</v>
      </c>
      <c r="F36" s="148" t="s">
        <v>35</v>
      </c>
      <c r="G36" s="152" t="s">
        <v>107</v>
      </c>
      <c r="H36" s="153">
        <v>44264</v>
      </c>
      <c r="I36" s="153" t="s">
        <v>415</v>
      </c>
      <c r="J36" s="153" t="s">
        <v>401</v>
      </c>
      <c r="K36" s="158"/>
      <c r="L36" s="158" t="s">
        <v>455</v>
      </c>
      <c r="M36" s="132"/>
      <c r="N36" s="160"/>
      <c r="O36" s="159">
        <v>44264</v>
      </c>
      <c r="P36" s="160"/>
      <c r="Q36" s="160"/>
      <c r="R36" s="159">
        <v>44280</v>
      </c>
      <c r="S36" s="160">
        <v>44280</v>
      </c>
      <c r="T36" s="159" t="s">
        <v>418</v>
      </c>
    </row>
    <row r="37" s="139" customFormat="1" ht="18" hidden="1" customHeight="1" spans="1:20">
      <c r="A37" s="117">
        <v>33</v>
      </c>
      <c r="B37" s="117"/>
      <c r="C37" s="117"/>
      <c r="D37" s="148" t="s">
        <v>27</v>
      </c>
      <c r="E37" s="148" t="s">
        <v>441</v>
      </c>
      <c r="F37" s="148" t="s">
        <v>35</v>
      </c>
      <c r="G37" s="152" t="s">
        <v>108</v>
      </c>
      <c r="H37" s="153">
        <v>44264</v>
      </c>
      <c r="I37" s="153" t="s">
        <v>415</v>
      </c>
      <c r="J37" s="153" t="s">
        <v>401</v>
      </c>
      <c r="K37" s="158"/>
      <c r="L37" s="158" t="s">
        <v>455</v>
      </c>
      <c r="M37" s="132"/>
      <c r="N37" s="160"/>
      <c r="O37" s="159">
        <v>44357</v>
      </c>
      <c r="P37" s="160"/>
      <c r="Q37" s="160"/>
      <c r="R37" s="159">
        <v>44272</v>
      </c>
      <c r="S37" s="160">
        <v>44272</v>
      </c>
      <c r="T37" s="159" t="s">
        <v>418</v>
      </c>
    </row>
    <row r="38" s="139" customFormat="1" ht="18" hidden="1" customHeight="1" spans="1:20">
      <c r="A38" s="117">
        <v>34</v>
      </c>
      <c r="B38" s="117"/>
      <c r="C38" s="117"/>
      <c r="D38" s="148" t="s">
        <v>27</v>
      </c>
      <c r="E38" s="148" t="s">
        <v>441</v>
      </c>
      <c r="F38" s="148" t="s">
        <v>33</v>
      </c>
      <c r="G38" s="152" t="s">
        <v>456</v>
      </c>
      <c r="H38" s="153">
        <v>44371</v>
      </c>
      <c r="I38" s="153" t="s">
        <v>411</v>
      </c>
      <c r="J38" s="153" t="s">
        <v>400</v>
      </c>
      <c r="K38" s="158"/>
      <c r="L38" s="158" t="s">
        <v>457</v>
      </c>
      <c r="M38" s="132"/>
      <c r="N38" s="160"/>
      <c r="O38" s="159"/>
      <c r="P38" s="160"/>
      <c r="Q38" s="160"/>
      <c r="R38" s="160"/>
      <c r="S38" s="160"/>
      <c r="T38" s="163"/>
    </row>
    <row r="39" s="139" customFormat="1" ht="49" hidden="1" customHeight="1" spans="1:20">
      <c r="A39" s="117">
        <v>35</v>
      </c>
      <c r="B39" s="117"/>
      <c r="C39" s="117" t="str">
        <f>_xlfn.DISPIMG("ID_4F862D15E1624914919CCA9C7A3BCD29",1)</f>
        <v>=DISPIMG("ID_4F862D15E1624914919CCA9C7A3BCD29",1)</v>
      </c>
      <c r="D39" s="148" t="s">
        <v>27</v>
      </c>
      <c r="E39" s="148" t="s">
        <v>441</v>
      </c>
      <c r="F39" s="148" t="s">
        <v>26</v>
      </c>
      <c r="G39" s="152">
        <v>681074011</v>
      </c>
      <c r="H39" s="153">
        <v>44295</v>
      </c>
      <c r="I39" s="153" t="s">
        <v>422</v>
      </c>
      <c r="J39" s="153" t="s">
        <v>400</v>
      </c>
      <c r="K39" s="158"/>
      <c r="L39" s="158" t="s">
        <v>442</v>
      </c>
      <c r="M39" s="132"/>
      <c r="N39" s="160"/>
      <c r="O39" s="159">
        <v>44265</v>
      </c>
      <c r="P39" s="160"/>
      <c r="Q39" s="160"/>
      <c r="R39" s="160"/>
      <c r="S39" s="160"/>
      <c r="T39" s="159" t="s">
        <v>418</v>
      </c>
    </row>
    <row r="40" s="139" customFormat="1" ht="49" hidden="1" customHeight="1" spans="1:20">
      <c r="A40" s="117">
        <v>36</v>
      </c>
      <c r="B40" s="117"/>
      <c r="C40" s="117"/>
      <c r="D40" s="148" t="s">
        <v>27</v>
      </c>
      <c r="E40" s="148" t="s">
        <v>410</v>
      </c>
      <c r="F40" s="148" t="s">
        <v>26</v>
      </c>
      <c r="G40" s="152" t="s">
        <v>458</v>
      </c>
      <c r="H40" s="153">
        <v>44271</v>
      </c>
      <c r="I40" s="153" t="s">
        <v>411</v>
      </c>
      <c r="J40" s="153" t="s">
        <v>400</v>
      </c>
      <c r="K40" s="158"/>
      <c r="L40" s="158" t="s">
        <v>459</v>
      </c>
      <c r="M40" s="132"/>
      <c r="N40" s="160"/>
      <c r="O40" s="159"/>
      <c r="P40" s="160"/>
      <c r="Q40" s="160"/>
      <c r="R40" s="160"/>
      <c r="S40" s="160"/>
      <c r="T40" s="163"/>
    </row>
    <row r="41" s="139" customFormat="1" ht="49" hidden="1" customHeight="1" spans="1:20">
      <c r="A41" s="117">
        <v>37</v>
      </c>
      <c r="B41" s="117"/>
      <c r="C41" s="117" t="str">
        <f>_xlfn.DISPIMG("ID_0F43F35DD3884E9B8B0A0D86826E0E1B",1)</f>
        <v>=DISPIMG("ID_0F43F35DD3884E9B8B0A0D86826E0E1B",1)</v>
      </c>
      <c r="D41" s="148" t="s">
        <v>27</v>
      </c>
      <c r="E41" s="148" t="s">
        <v>410</v>
      </c>
      <c r="F41" s="148" t="s">
        <v>26</v>
      </c>
      <c r="G41" s="152" t="s">
        <v>460</v>
      </c>
      <c r="H41" s="153">
        <v>44271</v>
      </c>
      <c r="I41" s="153" t="s">
        <v>422</v>
      </c>
      <c r="J41" s="153" t="s">
        <v>401</v>
      </c>
      <c r="K41" s="158"/>
      <c r="L41" s="158" t="s">
        <v>461</v>
      </c>
      <c r="M41" s="132"/>
      <c r="N41" s="160"/>
      <c r="O41" s="159" t="s">
        <v>462</v>
      </c>
      <c r="P41" s="160">
        <v>44376</v>
      </c>
      <c r="Q41" s="160">
        <v>44408</v>
      </c>
      <c r="R41" s="160"/>
      <c r="S41" s="160"/>
      <c r="T41" s="163"/>
    </row>
    <row r="42" s="139" customFormat="1" ht="49" hidden="1" customHeight="1" spans="1:20">
      <c r="A42" s="117">
        <v>38</v>
      </c>
      <c r="B42" s="117"/>
      <c r="C42" s="117"/>
      <c r="D42" s="148" t="s">
        <v>27</v>
      </c>
      <c r="E42" s="148" t="s">
        <v>410</v>
      </c>
      <c r="F42" s="148" t="s">
        <v>26</v>
      </c>
      <c r="G42" s="152" t="s">
        <v>463</v>
      </c>
      <c r="H42" s="153">
        <v>44271</v>
      </c>
      <c r="I42" s="153" t="s">
        <v>411</v>
      </c>
      <c r="J42" s="153" t="s">
        <v>400</v>
      </c>
      <c r="K42" s="158"/>
      <c r="L42" s="158" t="s">
        <v>459</v>
      </c>
      <c r="M42" s="132"/>
      <c r="N42" s="160"/>
      <c r="O42" s="159"/>
      <c r="P42" s="160"/>
      <c r="Q42" s="160"/>
      <c r="R42" s="160"/>
      <c r="S42" s="160"/>
      <c r="T42" s="163"/>
    </row>
    <row r="43" s="139" customFormat="1" ht="49" hidden="1" customHeight="1" spans="1:20">
      <c r="A43" s="117">
        <v>39</v>
      </c>
      <c r="B43" s="117"/>
      <c r="C43" s="117"/>
      <c r="D43" s="148" t="s">
        <v>27</v>
      </c>
      <c r="E43" s="148" t="s">
        <v>410</v>
      </c>
      <c r="F43" s="148" t="s">
        <v>26</v>
      </c>
      <c r="G43" s="152" t="s">
        <v>464</v>
      </c>
      <c r="H43" s="153">
        <v>44271</v>
      </c>
      <c r="I43" s="153" t="s">
        <v>411</v>
      </c>
      <c r="J43" s="153" t="s">
        <v>401</v>
      </c>
      <c r="K43" s="158"/>
      <c r="L43" s="158" t="s">
        <v>465</v>
      </c>
      <c r="M43" s="132"/>
      <c r="N43" s="160"/>
      <c r="O43" s="159"/>
      <c r="P43" s="160">
        <v>44376</v>
      </c>
      <c r="Q43" s="160">
        <v>44408</v>
      </c>
      <c r="R43" s="160"/>
      <c r="S43" s="160"/>
      <c r="T43" s="163"/>
    </row>
    <row r="44" s="139" customFormat="1" ht="49" hidden="1" customHeight="1" spans="1:20">
      <c r="A44" s="117">
        <v>40</v>
      </c>
      <c r="B44" s="117"/>
      <c r="C44" s="117"/>
      <c r="D44" s="148" t="s">
        <v>27</v>
      </c>
      <c r="E44" s="148" t="s">
        <v>441</v>
      </c>
      <c r="F44" s="148" t="s">
        <v>26</v>
      </c>
      <c r="G44" s="152" t="s">
        <v>466</v>
      </c>
      <c r="H44" s="153">
        <v>44369</v>
      </c>
      <c r="I44" s="153" t="s">
        <v>411</v>
      </c>
      <c r="J44" s="153" t="s">
        <v>447</v>
      </c>
      <c r="K44" s="158" t="s">
        <v>467</v>
      </c>
      <c r="L44" s="158" t="s">
        <v>468</v>
      </c>
      <c r="M44" s="132"/>
      <c r="N44" s="160"/>
      <c r="O44" s="159"/>
      <c r="P44" s="160"/>
      <c r="Q44" s="160"/>
      <c r="R44" s="160"/>
      <c r="S44" s="160"/>
      <c r="T44" s="163"/>
    </row>
    <row r="45" s="139" customFormat="1" ht="49" hidden="1" customHeight="1" spans="1:20">
      <c r="A45" s="117">
        <v>41</v>
      </c>
      <c r="B45" s="117"/>
      <c r="C45" s="117"/>
      <c r="D45" s="148" t="s">
        <v>27</v>
      </c>
      <c r="E45" s="148" t="s">
        <v>414</v>
      </c>
      <c r="F45" s="148" t="s">
        <v>26</v>
      </c>
      <c r="G45" s="152" t="s">
        <v>469</v>
      </c>
      <c r="H45" s="153">
        <v>44369</v>
      </c>
      <c r="I45" s="153" t="s">
        <v>411</v>
      </c>
      <c r="J45" s="153" t="s">
        <v>401</v>
      </c>
      <c r="K45" s="158" t="s">
        <v>452</v>
      </c>
      <c r="L45" s="158" t="s">
        <v>459</v>
      </c>
      <c r="M45" s="132"/>
      <c r="N45" s="160"/>
      <c r="O45" s="159"/>
      <c r="P45" s="160"/>
      <c r="Q45" s="160"/>
      <c r="R45" s="160"/>
      <c r="S45" s="160"/>
      <c r="T45" s="163"/>
    </row>
    <row r="46" s="139" customFormat="1" ht="49" hidden="1" customHeight="1" spans="1:20">
      <c r="A46" s="117">
        <v>42</v>
      </c>
      <c r="B46" s="117"/>
      <c r="C46" s="117"/>
      <c r="D46" s="148" t="s">
        <v>27</v>
      </c>
      <c r="E46" s="148" t="s">
        <v>441</v>
      </c>
      <c r="F46" s="148" t="s">
        <v>26</v>
      </c>
      <c r="G46" s="152" t="s">
        <v>470</v>
      </c>
      <c r="H46" s="153">
        <v>44371</v>
      </c>
      <c r="I46" s="153" t="s">
        <v>411</v>
      </c>
      <c r="J46" s="153" t="s">
        <v>447</v>
      </c>
      <c r="K46" s="158" t="s">
        <v>467</v>
      </c>
      <c r="L46" s="158" t="s">
        <v>468</v>
      </c>
      <c r="M46" s="132"/>
      <c r="N46" s="160"/>
      <c r="O46" s="159"/>
      <c r="P46" s="160"/>
      <c r="Q46" s="160"/>
      <c r="R46" s="160"/>
      <c r="S46" s="160"/>
      <c r="T46" s="163"/>
    </row>
    <row r="47" s="139" customFormat="1" ht="49" hidden="1" customHeight="1" spans="1:20">
      <c r="A47" s="117">
        <v>43</v>
      </c>
      <c r="B47" s="117"/>
      <c r="C47" s="117" t="str">
        <f>_xlfn.DISPIMG("ID_D1BE939F3F4E447C8D8FE3586D1FAA32",1)</f>
        <v>=DISPIMG("ID_D1BE939F3F4E447C8D8FE3586D1FAA32",1)</v>
      </c>
      <c r="D47" s="148" t="s">
        <v>27</v>
      </c>
      <c r="E47" s="148" t="s">
        <v>441</v>
      </c>
      <c r="F47" s="148" t="s">
        <v>26</v>
      </c>
      <c r="G47" s="152" t="s">
        <v>471</v>
      </c>
      <c r="H47" s="153">
        <v>44371</v>
      </c>
      <c r="I47" s="153" t="s">
        <v>422</v>
      </c>
      <c r="J47" s="153" t="s">
        <v>400</v>
      </c>
      <c r="K47" s="158"/>
      <c r="L47" s="158" t="s">
        <v>472</v>
      </c>
      <c r="M47" s="132"/>
      <c r="N47" s="160"/>
      <c r="O47" s="159">
        <v>44376</v>
      </c>
      <c r="P47" s="160"/>
      <c r="Q47" s="160"/>
      <c r="R47" s="160"/>
      <c r="S47" s="160"/>
      <c r="T47" s="163"/>
    </row>
    <row r="48" s="139" customFormat="1" ht="49" hidden="1" customHeight="1" spans="1:20">
      <c r="A48" s="117">
        <v>44</v>
      </c>
      <c r="B48" s="117"/>
      <c r="C48" s="117"/>
      <c r="D48" s="148" t="s">
        <v>27</v>
      </c>
      <c r="E48" s="148" t="s">
        <v>414</v>
      </c>
      <c r="F48" s="148" t="s">
        <v>26</v>
      </c>
      <c r="G48" s="152" t="s">
        <v>473</v>
      </c>
      <c r="H48" s="153">
        <v>44369</v>
      </c>
      <c r="I48" s="153" t="s">
        <v>411</v>
      </c>
      <c r="J48" s="153" t="s">
        <v>401</v>
      </c>
      <c r="K48" s="158" t="s">
        <v>452</v>
      </c>
      <c r="L48" s="158" t="s">
        <v>459</v>
      </c>
      <c r="M48" s="132"/>
      <c r="N48" s="160"/>
      <c r="O48" s="159"/>
      <c r="P48" s="160"/>
      <c r="Q48" s="160"/>
      <c r="R48" s="160"/>
      <c r="S48" s="160"/>
      <c r="T48" s="163"/>
    </row>
    <row r="49" s="139" customFormat="1" ht="49" hidden="1" customHeight="1" spans="1:20">
      <c r="A49" s="117">
        <v>45</v>
      </c>
      <c r="B49" s="117"/>
      <c r="C49" s="117" t="str">
        <f>_xlfn.DISPIMG("ID_F10EF5CC4F7F4592905C7A731A22D681",1)</f>
        <v>=DISPIMG("ID_F10EF5CC4F7F4592905C7A731A22D681",1)</v>
      </c>
      <c r="D49" s="148" t="s">
        <v>27</v>
      </c>
      <c r="E49" s="148" t="s">
        <v>414</v>
      </c>
      <c r="F49" s="148" t="s">
        <v>26</v>
      </c>
      <c r="G49" s="152" t="s">
        <v>474</v>
      </c>
      <c r="H49" s="153">
        <v>44371</v>
      </c>
      <c r="I49" s="153" t="s">
        <v>411</v>
      </c>
      <c r="J49" s="153" t="s">
        <v>400</v>
      </c>
      <c r="K49" s="158"/>
      <c r="L49" s="158" t="s">
        <v>475</v>
      </c>
      <c r="M49" s="132"/>
      <c r="N49" s="160">
        <v>44392</v>
      </c>
      <c r="O49" s="159"/>
      <c r="P49" s="160"/>
      <c r="Q49" s="160"/>
      <c r="R49" s="160"/>
      <c r="S49" s="160"/>
      <c r="T49" s="163"/>
    </row>
    <row r="50" s="139" customFormat="1" ht="49" hidden="1" customHeight="1" spans="1:20">
      <c r="A50" s="117">
        <v>46</v>
      </c>
      <c r="B50" s="117"/>
      <c r="C50" s="117"/>
      <c r="D50" s="148" t="s">
        <v>27</v>
      </c>
      <c r="E50" s="148" t="s">
        <v>441</v>
      </c>
      <c r="F50" s="148" t="s">
        <v>26</v>
      </c>
      <c r="G50" s="152" t="s">
        <v>476</v>
      </c>
      <c r="H50" s="153">
        <v>44369</v>
      </c>
      <c r="I50" s="153" t="s">
        <v>411</v>
      </c>
      <c r="J50" s="153" t="s">
        <v>400</v>
      </c>
      <c r="K50" s="158"/>
      <c r="L50" s="158" t="s">
        <v>459</v>
      </c>
      <c r="M50" s="132"/>
      <c r="N50" s="160"/>
      <c r="O50" s="159"/>
      <c r="P50" s="160"/>
      <c r="Q50" s="160"/>
      <c r="R50" s="160"/>
      <c r="S50" s="160"/>
      <c r="T50" s="163"/>
    </row>
    <row r="51" s="139" customFormat="1" ht="49" hidden="1" customHeight="1" spans="1:20">
      <c r="A51" s="117">
        <v>47</v>
      </c>
      <c r="B51" s="117"/>
      <c r="C51" s="117" t="str">
        <f>_xlfn.DISPIMG("ID_6FDD7703F6FE4ADA9ED5FE0561BA4223",1)</f>
        <v>=DISPIMG("ID_6FDD7703F6FE4ADA9ED5FE0561BA4223",1)</v>
      </c>
      <c r="D51" s="148" t="s">
        <v>27</v>
      </c>
      <c r="E51" s="148" t="s">
        <v>414</v>
      </c>
      <c r="F51" s="148" t="s">
        <v>26</v>
      </c>
      <c r="G51" s="152" t="s">
        <v>477</v>
      </c>
      <c r="H51" s="153">
        <v>44371</v>
      </c>
      <c r="I51" s="153" t="s">
        <v>411</v>
      </c>
      <c r="J51" s="153" t="s">
        <v>447</v>
      </c>
      <c r="K51" s="158" t="s">
        <v>41</v>
      </c>
      <c r="L51" s="158" t="s">
        <v>478</v>
      </c>
      <c r="M51" s="132"/>
      <c r="N51" s="160">
        <v>44392</v>
      </c>
      <c r="O51" s="159"/>
      <c r="P51" s="160"/>
      <c r="Q51" s="160"/>
      <c r="R51" s="160"/>
      <c r="S51" s="160"/>
      <c r="T51" s="163"/>
    </row>
    <row r="52" s="139" customFormat="1" ht="49" hidden="1" customHeight="1" spans="1:20">
      <c r="A52" s="117">
        <v>48</v>
      </c>
      <c r="B52" s="117"/>
      <c r="C52" s="117" t="str">
        <f>_xlfn.DISPIMG("ID_C373B3BF59CD4989B08EFEDE790C9C90",1)</f>
        <v>=DISPIMG("ID_C373B3BF59CD4989B08EFEDE790C9C90",1)</v>
      </c>
      <c r="D52" s="148" t="s">
        <v>27</v>
      </c>
      <c r="E52" s="148" t="s">
        <v>441</v>
      </c>
      <c r="F52" s="148" t="s">
        <v>26</v>
      </c>
      <c r="G52" s="152" t="s">
        <v>479</v>
      </c>
      <c r="H52" s="153">
        <v>44371</v>
      </c>
      <c r="I52" s="153" t="s">
        <v>422</v>
      </c>
      <c r="J52" s="153" t="s">
        <v>401</v>
      </c>
      <c r="K52" s="158"/>
      <c r="L52" s="158" t="s">
        <v>480</v>
      </c>
      <c r="M52" s="132"/>
      <c r="N52" s="160"/>
      <c r="O52" s="159">
        <v>44376</v>
      </c>
      <c r="P52" s="160"/>
      <c r="Q52" s="160"/>
      <c r="R52" s="160"/>
      <c r="S52" s="160"/>
      <c r="T52" s="163"/>
    </row>
    <row r="53" s="139" customFormat="1" ht="49" hidden="1" customHeight="1" spans="1:20">
      <c r="A53" s="117">
        <v>49</v>
      </c>
      <c r="B53" s="117"/>
      <c r="C53" s="117" t="str">
        <f>_xlfn.DISPIMG("ID_31801B48B42F4DC490862187F65A8C2C",1)</f>
        <v>=DISPIMG("ID_31801B48B42F4DC490862187F65A8C2C",1)</v>
      </c>
      <c r="D53" s="148" t="s">
        <v>27</v>
      </c>
      <c r="E53" s="148" t="s">
        <v>441</v>
      </c>
      <c r="F53" s="148" t="s">
        <v>26</v>
      </c>
      <c r="G53" s="152" t="s">
        <v>481</v>
      </c>
      <c r="H53" s="153">
        <v>44371</v>
      </c>
      <c r="I53" s="153" t="s">
        <v>422</v>
      </c>
      <c r="J53" s="153" t="s">
        <v>400</v>
      </c>
      <c r="K53" s="158"/>
      <c r="L53" s="158" t="s">
        <v>478</v>
      </c>
      <c r="M53" s="132"/>
      <c r="N53" s="160"/>
      <c r="O53" s="159">
        <v>44376</v>
      </c>
      <c r="P53" s="160"/>
      <c r="Q53" s="160"/>
      <c r="R53" s="160"/>
      <c r="S53" s="160"/>
      <c r="T53" s="163"/>
    </row>
    <row r="54" s="139" customFormat="1" ht="49" hidden="1" customHeight="1" spans="1:20">
      <c r="A54" s="117">
        <v>50</v>
      </c>
      <c r="B54" s="117"/>
      <c r="C54" s="117"/>
      <c r="D54" s="148" t="s">
        <v>27</v>
      </c>
      <c r="E54" s="148" t="s">
        <v>414</v>
      </c>
      <c r="F54" s="148" t="s">
        <v>26</v>
      </c>
      <c r="G54" s="152" t="s">
        <v>482</v>
      </c>
      <c r="H54" s="153">
        <v>44371</v>
      </c>
      <c r="I54" s="153" t="s">
        <v>411</v>
      </c>
      <c r="J54" s="153" t="s">
        <v>401</v>
      </c>
      <c r="K54" s="158" t="s">
        <v>39</v>
      </c>
      <c r="L54" s="158" t="s">
        <v>459</v>
      </c>
      <c r="M54" s="132"/>
      <c r="N54" s="160"/>
      <c r="O54" s="159"/>
      <c r="P54" s="160"/>
      <c r="Q54" s="160"/>
      <c r="R54" s="160"/>
      <c r="S54" s="160"/>
      <c r="T54" s="163"/>
    </row>
    <row r="55" s="139" customFormat="1" ht="49" hidden="1" customHeight="1" spans="1:20">
      <c r="A55" s="117">
        <v>51</v>
      </c>
      <c r="B55" s="117"/>
      <c r="C55" s="117"/>
      <c r="D55" s="148" t="s">
        <v>27</v>
      </c>
      <c r="E55" s="148" t="s">
        <v>441</v>
      </c>
      <c r="F55" s="148" t="s">
        <v>26</v>
      </c>
      <c r="G55" s="152" t="s">
        <v>483</v>
      </c>
      <c r="H55" s="153">
        <v>44369</v>
      </c>
      <c r="I55" s="153" t="s">
        <v>411</v>
      </c>
      <c r="J55" s="153" t="s">
        <v>447</v>
      </c>
      <c r="K55" s="158" t="s">
        <v>452</v>
      </c>
      <c r="L55" s="158" t="s">
        <v>453</v>
      </c>
      <c r="M55" s="132"/>
      <c r="N55" s="160"/>
      <c r="O55" s="159"/>
      <c r="P55" s="160"/>
      <c r="Q55" s="160"/>
      <c r="R55" s="160"/>
      <c r="S55" s="160"/>
      <c r="T55" s="163"/>
    </row>
    <row r="56" s="139" customFormat="1" ht="49" hidden="1" customHeight="1" spans="1:20">
      <c r="A56" s="117">
        <v>52</v>
      </c>
      <c r="B56" s="117"/>
      <c r="C56" s="117" t="str">
        <f>_xlfn.DISPIMG("ID_2C8B3FC2AD61416CA3962A633E3CAF04",1)</f>
        <v>=DISPIMG("ID_2C8B3FC2AD61416CA3962A633E3CAF04",1)</v>
      </c>
      <c r="D56" s="148" t="s">
        <v>27</v>
      </c>
      <c r="E56" s="148" t="s">
        <v>441</v>
      </c>
      <c r="F56" s="148" t="s">
        <v>26</v>
      </c>
      <c r="G56" s="152" t="s">
        <v>484</v>
      </c>
      <c r="H56" s="153">
        <v>44371</v>
      </c>
      <c r="I56" s="153" t="s">
        <v>422</v>
      </c>
      <c r="J56" s="153" t="s">
        <v>400</v>
      </c>
      <c r="K56" s="158"/>
      <c r="L56" s="158" t="s">
        <v>478</v>
      </c>
      <c r="M56" s="132"/>
      <c r="N56" s="160"/>
      <c r="O56" s="159">
        <v>44376</v>
      </c>
      <c r="P56" s="160"/>
      <c r="Q56" s="160"/>
      <c r="R56" s="160"/>
      <c r="S56" s="160"/>
      <c r="T56" s="163"/>
    </row>
    <row r="57" s="139" customFormat="1" ht="49" hidden="1" customHeight="1" spans="1:20">
      <c r="A57" s="117">
        <v>53</v>
      </c>
      <c r="B57" s="117"/>
      <c r="C57" s="117"/>
      <c r="D57" s="148" t="s">
        <v>27</v>
      </c>
      <c r="E57" s="148" t="s">
        <v>441</v>
      </c>
      <c r="F57" s="148" t="s">
        <v>26</v>
      </c>
      <c r="G57" s="152" t="s">
        <v>485</v>
      </c>
      <c r="H57" s="153">
        <v>44369</v>
      </c>
      <c r="I57" s="153" t="s">
        <v>411</v>
      </c>
      <c r="J57" s="153" t="s">
        <v>447</v>
      </c>
      <c r="K57" s="158" t="s">
        <v>452</v>
      </c>
      <c r="L57" s="158" t="s">
        <v>453</v>
      </c>
      <c r="M57" s="132"/>
      <c r="N57" s="160"/>
      <c r="O57" s="159"/>
      <c r="P57" s="160"/>
      <c r="Q57" s="160"/>
      <c r="R57" s="160"/>
      <c r="S57" s="160"/>
      <c r="T57" s="163"/>
    </row>
    <row r="58" s="139" customFormat="1" ht="49" hidden="1" customHeight="1" spans="1:20">
      <c r="A58" s="117">
        <v>54</v>
      </c>
      <c r="B58" s="117"/>
      <c r="C58" s="117" t="str">
        <f>_xlfn.DISPIMG("ID_B87C44BC41AC4FFB9640F29080943F55",1)</f>
        <v>=DISPIMG("ID_B87C44BC41AC4FFB9640F29080943F55",1)</v>
      </c>
      <c r="D58" s="148" t="s">
        <v>27</v>
      </c>
      <c r="E58" s="148" t="s">
        <v>441</v>
      </c>
      <c r="F58" s="148" t="s">
        <v>26</v>
      </c>
      <c r="G58" s="152" t="s">
        <v>486</v>
      </c>
      <c r="H58" s="153">
        <v>44371</v>
      </c>
      <c r="I58" s="153" t="s">
        <v>422</v>
      </c>
      <c r="J58" s="153" t="s">
        <v>400</v>
      </c>
      <c r="K58" s="158"/>
      <c r="L58" s="158" t="s">
        <v>487</v>
      </c>
      <c r="M58" s="132"/>
      <c r="N58" s="160"/>
      <c r="O58" s="159">
        <v>44376</v>
      </c>
      <c r="P58" s="160"/>
      <c r="Q58" s="160"/>
      <c r="R58" s="160"/>
      <c r="S58" s="160"/>
      <c r="T58" s="163"/>
    </row>
    <row r="59" s="139" customFormat="1" ht="49" hidden="1" customHeight="1" spans="1:20">
      <c r="A59" s="117">
        <v>55</v>
      </c>
      <c r="B59" s="117"/>
      <c r="C59" s="117"/>
      <c r="D59" s="148" t="s">
        <v>27</v>
      </c>
      <c r="E59" s="148" t="s">
        <v>441</v>
      </c>
      <c r="F59" s="148" t="s">
        <v>26</v>
      </c>
      <c r="G59" s="152" t="s">
        <v>488</v>
      </c>
      <c r="H59" s="153">
        <v>44371</v>
      </c>
      <c r="I59" s="153" t="s">
        <v>411</v>
      </c>
      <c r="J59" s="153" t="s">
        <v>401</v>
      </c>
      <c r="K59" s="158"/>
      <c r="L59" s="158" t="s">
        <v>459</v>
      </c>
      <c r="M59" s="132"/>
      <c r="N59" s="160"/>
      <c r="O59" s="159"/>
      <c r="P59" s="160">
        <v>44378</v>
      </c>
      <c r="Q59" s="160">
        <v>44408</v>
      </c>
      <c r="R59" s="160"/>
      <c r="S59" s="160"/>
      <c r="T59" s="163"/>
    </row>
    <row r="60" s="139" customFormat="1" ht="49" hidden="1" customHeight="1" spans="1:20">
      <c r="A60" s="117">
        <v>56</v>
      </c>
      <c r="B60" s="117"/>
      <c r="C60" s="117"/>
      <c r="D60" s="148" t="s">
        <v>27</v>
      </c>
      <c r="E60" s="148" t="s">
        <v>441</v>
      </c>
      <c r="F60" s="148" t="s">
        <v>26</v>
      </c>
      <c r="G60" s="152" t="s">
        <v>489</v>
      </c>
      <c r="H60" s="153">
        <v>44371</v>
      </c>
      <c r="I60" s="153" t="s">
        <v>411</v>
      </c>
      <c r="J60" s="153" t="s">
        <v>401</v>
      </c>
      <c r="K60" s="158"/>
      <c r="L60" s="158" t="s">
        <v>459</v>
      </c>
      <c r="M60" s="132"/>
      <c r="N60" s="160"/>
      <c r="O60" s="159"/>
      <c r="P60" s="160">
        <v>44378</v>
      </c>
      <c r="Q60" s="160">
        <v>44408</v>
      </c>
      <c r="R60" s="160"/>
      <c r="S60" s="160"/>
      <c r="T60" s="163"/>
    </row>
    <row r="61" s="139" customFormat="1" ht="49" hidden="1" customHeight="1" spans="1:20">
      <c r="A61" s="117">
        <v>57</v>
      </c>
      <c r="B61" s="117"/>
      <c r="C61" s="117" t="str">
        <f>_xlfn.DISPIMG("ID_CE6A599157374525870B76959DB54CF4",1)</f>
        <v>=DISPIMG("ID_CE6A599157374525870B76959DB54CF4",1)</v>
      </c>
      <c r="D61" s="148" t="s">
        <v>27</v>
      </c>
      <c r="E61" s="148" t="s">
        <v>441</v>
      </c>
      <c r="F61" s="148" t="s">
        <v>26</v>
      </c>
      <c r="G61" s="152" t="s">
        <v>143</v>
      </c>
      <c r="H61" s="153">
        <v>44295</v>
      </c>
      <c r="I61" s="153" t="s">
        <v>415</v>
      </c>
      <c r="J61" s="153" t="s">
        <v>401</v>
      </c>
      <c r="K61" s="158"/>
      <c r="L61" s="158" t="s">
        <v>490</v>
      </c>
      <c r="M61" s="132"/>
      <c r="N61" s="160"/>
      <c r="O61" s="159">
        <v>44308</v>
      </c>
      <c r="P61" s="160"/>
      <c r="Q61" s="160"/>
      <c r="R61" s="159">
        <v>0</v>
      </c>
      <c r="S61" s="160">
        <v>0</v>
      </c>
      <c r="T61" s="159" t="s">
        <v>418</v>
      </c>
    </row>
    <row r="62" s="139" customFormat="1" ht="49" hidden="1" customHeight="1" spans="1:20">
      <c r="A62" s="117">
        <v>58</v>
      </c>
      <c r="B62" s="117"/>
      <c r="C62" s="117" t="str">
        <f>_xlfn.DISPIMG("ID_99431C0CD308429C9CB7FC003E959668",1)</f>
        <v>=DISPIMG("ID_99431C0CD308429C9CB7FC003E959668",1)</v>
      </c>
      <c r="D62" s="148" t="s">
        <v>27</v>
      </c>
      <c r="E62" s="148" t="s">
        <v>441</v>
      </c>
      <c r="F62" s="148" t="s">
        <v>26</v>
      </c>
      <c r="G62" s="152" t="s">
        <v>149</v>
      </c>
      <c r="H62" s="153">
        <v>44258</v>
      </c>
      <c r="I62" s="153" t="s">
        <v>491</v>
      </c>
      <c r="J62" s="153" t="s">
        <v>401</v>
      </c>
      <c r="K62" s="158"/>
      <c r="L62" s="158" t="s">
        <v>490</v>
      </c>
      <c r="M62" s="132"/>
      <c r="N62" s="160"/>
      <c r="O62" s="159">
        <v>44265</v>
      </c>
      <c r="P62" s="160"/>
      <c r="Q62" s="160"/>
      <c r="R62" s="160"/>
      <c r="S62" s="160"/>
      <c r="T62" s="159" t="s">
        <v>418</v>
      </c>
    </row>
    <row r="63" s="139" customFormat="1" ht="49" hidden="1" customHeight="1" spans="1:20">
      <c r="A63" s="117">
        <v>59</v>
      </c>
      <c r="B63" s="117"/>
      <c r="C63" s="117" t="str">
        <f>_xlfn.DISPIMG("ID_DBE9FF1DDD8B4594886D153EFB9358DC",1)</f>
        <v>=DISPIMG("ID_DBE9FF1DDD8B4594886D153EFB9358DC",1)</v>
      </c>
      <c r="D63" s="148" t="s">
        <v>27</v>
      </c>
      <c r="E63" s="148" t="s">
        <v>441</v>
      </c>
      <c r="F63" s="148" t="s">
        <v>26</v>
      </c>
      <c r="G63" s="152" t="s">
        <v>150</v>
      </c>
      <c r="H63" s="153">
        <v>44258</v>
      </c>
      <c r="I63" s="153" t="s">
        <v>415</v>
      </c>
      <c r="J63" s="153" t="s">
        <v>401</v>
      </c>
      <c r="K63" s="158"/>
      <c r="L63" s="158" t="s">
        <v>490</v>
      </c>
      <c r="M63" s="132"/>
      <c r="N63" s="160"/>
      <c r="O63" s="159">
        <v>44272</v>
      </c>
      <c r="P63" s="160"/>
      <c r="Q63" s="160"/>
      <c r="R63" s="159">
        <v>44287</v>
      </c>
      <c r="S63" s="160">
        <v>44287</v>
      </c>
      <c r="T63" s="159" t="s">
        <v>418</v>
      </c>
    </row>
    <row r="64" s="139" customFormat="1" ht="49" hidden="1" customHeight="1" spans="1:20">
      <c r="A64" s="117">
        <v>60</v>
      </c>
      <c r="B64" s="117"/>
      <c r="C64" s="117" t="str">
        <f>_xlfn.DISPIMG("ID_9A7A2D4CBDB44608A54669911F5841D5",1)</f>
        <v>=DISPIMG("ID_9A7A2D4CBDB44608A54669911F5841D5",1)</v>
      </c>
      <c r="D64" s="148" t="s">
        <v>27</v>
      </c>
      <c r="E64" s="148" t="s">
        <v>441</v>
      </c>
      <c r="F64" s="148" t="s">
        <v>26</v>
      </c>
      <c r="G64" s="152" t="s">
        <v>160</v>
      </c>
      <c r="H64" s="153">
        <v>44335</v>
      </c>
      <c r="I64" s="153" t="s">
        <v>415</v>
      </c>
      <c r="J64" s="153" t="s">
        <v>401</v>
      </c>
      <c r="K64" s="158"/>
      <c r="L64" s="158" t="s">
        <v>490</v>
      </c>
      <c r="M64" s="132"/>
      <c r="N64" s="160"/>
      <c r="O64" s="159">
        <v>44341</v>
      </c>
      <c r="P64" s="160"/>
      <c r="Q64" s="160"/>
      <c r="R64" s="159">
        <v>44358</v>
      </c>
      <c r="S64" s="160">
        <v>44358</v>
      </c>
      <c r="T64" s="159" t="s">
        <v>418</v>
      </c>
    </row>
    <row r="65" s="139" customFormat="1" ht="18" hidden="1" customHeight="1" spans="1:20">
      <c r="A65" s="117">
        <v>61</v>
      </c>
      <c r="B65" s="117"/>
      <c r="C65" s="117"/>
      <c r="D65" s="148" t="s">
        <v>27</v>
      </c>
      <c r="E65" s="148" t="s">
        <v>414</v>
      </c>
      <c r="F65" s="148" t="s">
        <v>48</v>
      </c>
      <c r="G65" s="152" t="s">
        <v>492</v>
      </c>
      <c r="H65" s="153">
        <v>44338</v>
      </c>
      <c r="I65" s="153" t="s">
        <v>411</v>
      </c>
      <c r="J65" s="153" t="s">
        <v>401</v>
      </c>
      <c r="K65" s="158"/>
      <c r="L65" s="158"/>
      <c r="M65" s="132"/>
      <c r="N65" s="160"/>
      <c r="O65" s="159" t="s">
        <v>462</v>
      </c>
      <c r="P65" s="160"/>
      <c r="Q65" s="160"/>
      <c r="R65" s="160"/>
      <c r="S65" s="160"/>
      <c r="T65" s="163"/>
    </row>
    <row r="66" s="139" customFormat="1" ht="18" hidden="1" customHeight="1" spans="1:20">
      <c r="A66" s="117">
        <v>62</v>
      </c>
      <c r="B66" s="117"/>
      <c r="C66" s="117"/>
      <c r="D66" s="148" t="s">
        <v>27</v>
      </c>
      <c r="E66" s="148" t="s">
        <v>414</v>
      </c>
      <c r="F66" s="148" t="s">
        <v>48</v>
      </c>
      <c r="G66" s="152" t="s">
        <v>493</v>
      </c>
      <c r="H66" s="153">
        <v>44338</v>
      </c>
      <c r="I66" s="153" t="s">
        <v>411</v>
      </c>
      <c r="J66" s="153" t="s">
        <v>401</v>
      </c>
      <c r="K66" s="158"/>
      <c r="L66" s="158"/>
      <c r="M66" s="132"/>
      <c r="N66" s="160"/>
      <c r="O66" s="159" t="s">
        <v>462</v>
      </c>
      <c r="P66" s="160"/>
      <c r="Q66" s="160">
        <v>44370</v>
      </c>
      <c r="R66" s="160">
        <v>44384</v>
      </c>
      <c r="S66" s="160"/>
      <c r="T66" s="163" t="s">
        <v>494</v>
      </c>
    </row>
    <row r="67" s="139" customFormat="1" ht="18" hidden="1" customHeight="1" spans="1:20">
      <c r="A67" s="117">
        <v>63</v>
      </c>
      <c r="B67" s="117"/>
      <c r="C67" s="117"/>
      <c r="D67" s="148" t="s">
        <v>27</v>
      </c>
      <c r="E67" s="148" t="s">
        <v>414</v>
      </c>
      <c r="F67" s="148" t="s">
        <v>48</v>
      </c>
      <c r="G67" s="152" t="s">
        <v>495</v>
      </c>
      <c r="H67" s="153">
        <v>44338</v>
      </c>
      <c r="I67" s="153" t="s">
        <v>411</v>
      </c>
      <c r="J67" s="153" t="s">
        <v>401</v>
      </c>
      <c r="K67" s="158"/>
      <c r="L67" s="158"/>
      <c r="M67" s="132"/>
      <c r="N67" s="160"/>
      <c r="O67" s="159" t="s">
        <v>462</v>
      </c>
      <c r="P67" s="160"/>
      <c r="Q67" s="160"/>
      <c r="R67" s="160"/>
      <c r="S67" s="160"/>
      <c r="T67" s="163"/>
    </row>
    <row r="68" s="139" customFormat="1" ht="18" hidden="1" customHeight="1" spans="1:20">
      <c r="A68" s="117">
        <v>64</v>
      </c>
      <c r="B68" s="117"/>
      <c r="C68" s="117"/>
      <c r="D68" s="148" t="s">
        <v>27</v>
      </c>
      <c r="E68" s="148" t="s">
        <v>441</v>
      </c>
      <c r="F68" s="148" t="s">
        <v>48</v>
      </c>
      <c r="G68" s="152" t="s">
        <v>496</v>
      </c>
      <c r="H68" s="153">
        <v>44335</v>
      </c>
      <c r="I68" s="153" t="s">
        <v>411</v>
      </c>
      <c r="J68" s="153" t="s">
        <v>401</v>
      </c>
      <c r="K68" s="158"/>
      <c r="L68" s="158" t="s">
        <v>497</v>
      </c>
      <c r="M68" s="132"/>
      <c r="N68" s="160"/>
      <c r="O68" s="159" t="s">
        <v>462</v>
      </c>
      <c r="P68" s="160" t="s">
        <v>498</v>
      </c>
      <c r="Q68" s="160">
        <v>44409</v>
      </c>
      <c r="R68" s="160"/>
      <c r="S68" s="160"/>
      <c r="T68" s="163"/>
    </row>
    <row r="69" s="139" customFormat="1" ht="18" hidden="1" customHeight="1" spans="1:20">
      <c r="A69" s="117">
        <v>65</v>
      </c>
      <c r="B69" s="117"/>
      <c r="C69" s="117"/>
      <c r="D69" s="148" t="s">
        <v>27</v>
      </c>
      <c r="E69" s="148" t="s">
        <v>414</v>
      </c>
      <c r="F69" s="148" t="s">
        <v>48</v>
      </c>
      <c r="G69" s="152" t="s">
        <v>499</v>
      </c>
      <c r="H69" s="153">
        <v>44347</v>
      </c>
      <c r="I69" s="153" t="s">
        <v>411</v>
      </c>
      <c r="J69" s="153" t="s">
        <v>401</v>
      </c>
      <c r="K69" s="158"/>
      <c r="L69" s="158"/>
      <c r="M69" s="132"/>
      <c r="N69" s="160"/>
      <c r="O69" s="159" t="s">
        <v>462</v>
      </c>
      <c r="P69" s="160"/>
      <c r="Q69" s="160">
        <v>44370</v>
      </c>
      <c r="R69" s="160">
        <v>44384</v>
      </c>
      <c r="S69" s="160"/>
      <c r="T69" s="163" t="s">
        <v>494</v>
      </c>
    </row>
    <row r="70" s="139" customFormat="1" ht="48" customHeight="1" spans="1:20">
      <c r="A70" s="117">
        <v>66</v>
      </c>
      <c r="B70" s="117">
        <v>158563</v>
      </c>
      <c r="C70" s="117" t="str">
        <f>_xlfn.DISPIMG("ID_9889F8797F864897837635300E4F0D47",1)</f>
        <v>=DISPIMG("ID_9889F8797F864897837635300E4F0D47",1)</v>
      </c>
      <c r="D70" s="148" t="s">
        <v>20</v>
      </c>
      <c r="E70" s="148" t="s">
        <v>414</v>
      </c>
      <c r="F70" s="148" t="s">
        <v>54</v>
      </c>
      <c r="G70" s="152" t="s">
        <v>500</v>
      </c>
      <c r="H70" s="153">
        <v>44371</v>
      </c>
      <c r="I70" s="153" t="s">
        <v>411</v>
      </c>
      <c r="J70" s="153" t="s">
        <v>400</v>
      </c>
      <c r="K70" s="158" t="s">
        <v>501</v>
      </c>
      <c r="L70" s="165" t="s">
        <v>502</v>
      </c>
      <c r="M70" s="132"/>
      <c r="N70" s="160">
        <v>44392</v>
      </c>
      <c r="O70" s="159"/>
      <c r="P70" s="160"/>
      <c r="Q70" s="160"/>
      <c r="R70" s="160"/>
      <c r="S70" s="160"/>
      <c r="T70" s="163"/>
    </row>
    <row r="71" s="139" customFormat="1" ht="44.25" customHeight="1" spans="1:20">
      <c r="A71" s="117">
        <v>67</v>
      </c>
      <c r="B71" s="117">
        <v>171175</v>
      </c>
      <c r="C71" s="117" t="str">
        <f>_xlfn.DISPIMG("ID_CF0B4773AFAF41ACA247649CE2FA2352",1)</f>
        <v>=DISPIMG("ID_CF0B4773AFAF41ACA247649CE2FA2352",1)</v>
      </c>
      <c r="D71" s="148" t="s">
        <v>20</v>
      </c>
      <c r="E71" s="148" t="s">
        <v>414</v>
      </c>
      <c r="F71" s="148" t="s">
        <v>54</v>
      </c>
      <c r="G71" s="152" t="s">
        <v>503</v>
      </c>
      <c r="H71" s="153">
        <v>44371</v>
      </c>
      <c r="I71" s="153" t="s">
        <v>411</v>
      </c>
      <c r="J71" s="153" t="s">
        <v>400</v>
      </c>
      <c r="K71" s="158"/>
      <c r="L71" s="158" t="s">
        <v>504</v>
      </c>
      <c r="M71" s="132"/>
      <c r="N71" s="160"/>
      <c r="O71" s="159"/>
      <c r="P71" s="160"/>
      <c r="Q71" s="160"/>
      <c r="R71" s="160"/>
      <c r="S71" s="160"/>
      <c r="T71" s="163"/>
    </row>
    <row r="72" s="139" customFormat="1" ht="53.25" customHeight="1" spans="1:20">
      <c r="A72" s="117">
        <v>68</v>
      </c>
      <c r="B72" s="117">
        <v>171174</v>
      </c>
      <c r="C72" s="117" t="str">
        <f>_xlfn.DISPIMG("ID_C8DEF45D92D849FFB56FC20F6A3D1B76",1)</f>
        <v>=DISPIMG("ID_C8DEF45D92D849FFB56FC20F6A3D1B76",1)</v>
      </c>
      <c r="D72" s="148" t="s">
        <v>20</v>
      </c>
      <c r="E72" s="148" t="s">
        <v>414</v>
      </c>
      <c r="F72" s="148" t="s">
        <v>54</v>
      </c>
      <c r="G72" s="152" t="s">
        <v>505</v>
      </c>
      <c r="H72" s="153">
        <v>44371</v>
      </c>
      <c r="I72" s="153" t="s">
        <v>411</v>
      </c>
      <c r="J72" s="153" t="s">
        <v>400</v>
      </c>
      <c r="K72" s="158" t="s">
        <v>506</v>
      </c>
      <c r="L72" s="158" t="s">
        <v>504</v>
      </c>
      <c r="M72" s="132"/>
      <c r="N72" s="160"/>
      <c r="O72" s="159"/>
      <c r="P72" s="160"/>
      <c r="Q72" s="160"/>
      <c r="R72" s="160"/>
      <c r="S72" s="160"/>
      <c r="T72" s="163"/>
    </row>
    <row r="73" s="139" customFormat="1" ht="42" customHeight="1" spans="1:20">
      <c r="A73" s="117">
        <v>71</v>
      </c>
      <c r="B73" s="117">
        <v>179362</v>
      </c>
      <c r="C73" s="117" t="str">
        <f>_xlfn.DISPIMG("ID_F60B28F606FD4FE2AC9D8006F110C73D",1)</f>
        <v>=DISPIMG("ID_F60B28F606FD4FE2AC9D8006F110C73D",1)</v>
      </c>
      <c r="D73" s="148" t="s">
        <v>20</v>
      </c>
      <c r="E73" s="148" t="s">
        <v>414</v>
      </c>
      <c r="F73" s="148" t="s">
        <v>54</v>
      </c>
      <c r="G73" s="152" t="s">
        <v>507</v>
      </c>
      <c r="H73" s="153">
        <v>44371</v>
      </c>
      <c r="I73" s="153" t="s">
        <v>411</v>
      </c>
      <c r="J73" s="153" t="s">
        <v>401</v>
      </c>
      <c r="K73" s="158"/>
      <c r="L73" s="158" t="s">
        <v>508</v>
      </c>
      <c r="M73" s="132"/>
      <c r="N73" s="160"/>
      <c r="O73" s="159"/>
      <c r="P73" s="160"/>
      <c r="Q73" s="160"/>
      <c r="R73" s="160"/>
      <c r="S73" s="160"/>
      <c r="T73" s="163"/>
    </row>
    <row r="74" s="139" customFormat="1" ht="46.5" customHeight="1" spans="1:20">
      <c r="A74" s="117">
        <v>74</v>
      </c>
      <c r="B74" s="117">
        <v>193178</v>
      </c>
      <c r="C74" s="117" t="str">
        <f>_xlfn.DISPIMG("ID_2A66330C7D7A4497824BCFE3DB7E9973",1)</f>
        <v>=DISPIMG("ID_2A66330C7D7A4497824BCFE3DB7E9973",1)</v>
      </c>
      <c r="D74" s="148" t="s">
        <v>20</v>
      </c>
      <c r="E74" s="148" t="s">
        <v>414</v>
      </c>
      <c r="F74" s="148" t="s">
        <v>54</v>
      </c>
      <c r="G74" s="152" t="s">
        <v>509</v>
      </c>
      <c r="H74" s="153">
        <v>44369</v>
      </c>
      <c r="I74" s="153" t="s">
        <v>411</v>
      </c>
      <c r="J74" s="153" t="s">
        <v>401</v>
      </c>
      <c r="K74" s="158" t="s">
        <v>467</v>
      </c>
      <c r="L74" s="158" t="s">
        <v>508</v>
      </c>
      <c r="M74" s="132"/>
      <c r="N74" s="160"/>
      <c r="O74" s="159"/>
      <c r="P74" s="160"/>
      <c r="Q74" s="160"/>
      <c r="R74" s="160"/>
      <c r="S74" s="160"/>
      <c r="T74" s="163"/>
    </row>
    <row r="75" s="139" customFormat="1" spans="1:20">
      <c r="A75" s="117">
        <v>75</v>
      </c>
      <c r="B75" s="117"/>
      <c r="C75" s="117"/>
      <c r="D75" s="148" t="s">
        <v>20</v>
      </c>
      <c r="E75" s="148" t="s">
        <v>414</v>
      </c>
      <c r="F75" s="148" t="s">
        <v>54</v>
      </c>
      <c r="G75" s="152" t="s">
        <v>510</v>
      </c>
      <c r="H75" s="153">
        <v>44371</v>
      </c>
      <c r="I75" s="153" t="s">
        <v>411</v>
      </c>
      <c r="J75" s="153" t="s">
        <v>400</v>
      </c>
      <c r="K75" s="158"/>
      <c r="L75" s="158" t="s">
        <v>511</v>
      </c>
      <c r="M75" s="132"/>
      <c r="N75" s="160"/>
      <c r="O75" s="159"/>
      <c r="P75" s="160"/>
      <c r="Q75" s="160"/>
      <c r="R75" s="160"/>
      <c r="S75" s="160"/>
      <c r="T75" s="163"/>
    </row>
    <row r="76" s="139" customFormat="1" ht="51.75" customHeight="1" spans="1:20">
      <c r="A76" s="117">
        <v>77</v>
      </c>
      <c r="B76" s="164">
        <v>400587038</v>
      </c>
      <c r="C76" s="117" t="str">
        <f>_xlfn.DISPIMG("ID_C52D169D5CF74B2F8EB3AE26C8B3A7DD",1)</f>
        <v>=DISPIMG("ID_C52D169D5CF74B2F8EB3AE26C8B3A7DD",1)</v>
      </c>
      <c r="D76" s="148" t="s">
        <v>20</v>
      </c>
      <c r="E76" s="148" t="s">
        <v>414</v>
      </c>
      <c r="F76" s="148" t="s">
        <v>54</v>
      </c>
      <c r="G76" s="152" t="s">
        <v>512</v>
      </c>
      <c r="H76" s="153">
        <v>44355</v>
      </c>
      <c r="I76" s="153" t="s">
        <v>422</v>
      </c>
      <c r="J76" s="153" t="s">
        <v>401</v>
      </c>
      <c r="K76" s="158"/>
      <c r="L76" s="165" t="s">
        <v>513</v>
      </c>
      <c r="M76" s="132"/>
      <c r="N76" s="160"/>
      <c r="O76" s="159">
        <v>44375</v>
      </c>
      <c r="P76" s="160"/>
      <c r="Q76" s="160"/>
      <c r="R76" s="160"/>
      <c r="S76" s="160"/>
      <c r="T76" s="163"/>
    </row>
    <row r="77" s="139" customFormat="1" ht="47.25" hidden="1" customHeight="1" spans="1:20">
      <c r="A77" s="117">
        <v>78</v>
      </c>
      <c r="B77" s="117" t="s">
        <v>514</v>
      </c>
      <c r="C77" s="117" t="str">
        <f>_xlfn.DISPIMG("ID_C9594911932D4652BEDB20923DCCA36B",1)</f>
        <v>=DISPIMG("ID_C9594911932D4652BEDB20923DCCA36B",1)</v>
      </c>
      <c r="D77" s="148" t="s">
        <v>20</v>
      </c>
      <c r="E77" s="148" t="s">
        <v>414</v>
      </c>
      <c r="F77" s="148" t="s">
        <v>50</v>
      </c>
      <c r="G77" s="152" t="s">
        <v>515</v>
      </c>
      <c r="H77" s="153">
        <v>44365</v>
      </c>
      <c r="I77" s="153" t="s">
        <v>411</v>
      </c>
      <c r="J77" s="153" t="s">
        <v>401</v>
      </c>
      <c r="K77" s="158" t="s">
        <v>39</v>
      </c>
      <c r="L77" s="158" t="s">
        <v>516</v>
      </c>
      <c r="M77" s="132"/>
      <c r="N77" s="160"/>
      <c r="O77" s="159"/>
      <c r="P77" s="160"/>
      <c r="Q77" s="160"/>
      <c r="R77" s="160"/>
      <c r="S77" s="160"/>
      <c r="T77" s="163"/>
    </row>
    <row r="78" s="139" customFormat="1" ht="58.5" hidden="1" customHeight="1" spans="1:20">
      <c r="A78" s="117">
        <v>70</v>
      </c>
      <c r="B78" s="117" t="s">
        <v>517</v>
      </c>
      <c r="C78" s="117" t="str">
        <f>_xlfn.DISPIMG("ID_3F94EFA430AC49B0AE54C08533D04993",1)</f>
        <v>=DISPIMG("ID_3F94EFA430AC49B0AE54C08533D04993",1)</v>
      </c>
      <c r="D78" s="148" t="s">
        <v>20</v>
      </c>
      <c r="E78" s="148" t="s">
        <v>441</v>
      </c>
      <c r="F78" s="148" t="s">
        <v>54</v>
      </c>
      <c r="G78" s="152" t="s">
        <v>518</v>
      </c>
      <c r="H78" s="153">
        <v>44371</v>
      </c>
      <c r="I78" s="153" t="s">
        <v>422</v>
      </c>
      <c r="J78" s="153" t="s">
        <v>400</v>
      </c>
      <c r="K78" s="158"/>
      <c r="L78" s="165" t="s">
        <v>519</v>
      </c>
      <c r="M78" s="132"/>
      <c r="N78" s="160"/>
      <c r="O78" s="159">
        <v>44376</v>
      </c>
      <c r="P78" s="160"/>
      <c r="Q78" s="160"/>
      <c r="R78" s="160"/>
      <c r="S78" s="160"/>
      <c r="T78" s="148" t="s">
        <v>418</v>
      </c>
    </row>
    <row r="79" s="139" customFormat="1" ht="57" hidden="1" customHeight="1" spans="1:20">
      <c r="A79" s="117">
        <v>79</v>
      </c>
      <c r="B79" s="117">
        <v>156976</v>
      </c>
      <c r="C79" s="117" t="str">
        <f>_xlfn.DISPIMG("ID_1B9BF4F952744EF0897030616DC5098F",1)</f>
        <v>=DISPIMG("ID_1B9BF4F952744EF0897030616DC5098F",1)</v>
      </c>
      <c r="D79" s="148" t="s">
        <v>20</v>
      </c>
      <c r="E79" s="148" t="s">
        <v>414</v>
      </c>
      <c r="F79" s="148" t="s">
        <v>50</v>
      </c>
      <c r="G79" s="152" t="s">
        <v>520</v>
      </c>
      <c r="H79" s="153">
        <v>44371</v>
      </c>
      <c r="I79" s="153" t="s">
        <v>422</v>
      </c>
      <c r="J79" s="153" t="s">
        <v>401</v>
      </c>
      <c r="K79" s="158"/>
      <c r="L79" s="158" t="s">
        <v>521</v>
      </c>
      <c r="M79" s="132"/>
      <c r="N79" s="160"/>
      <c r="O79" s="159">
        <v>44375</v>
      </c>
      <c r="P79" s="160" t="s">
        <v>413</v>
      </c>
      <c r="Q79" s="160">
        <v>44413</v>
      </c>
      <c r="R79" s="160"/>
      <c r="S79" s="160"/>
      <c r="T79" s="163"/>
    </row>
    <row r="80" s="139" customFormat="1" ht="85.5" customHeight="1" spans="1:20">
      <c r="A80" s="117">
        <v>73</v>
      </c>
      <c r="B80" s="117">
        <v>11123910</v>
      </c>
      <c r="C80" s="117" t="str">
        <f>_xlfn.DISPIMG("ID_2F0B16667B07465880A7F828B4076D2A",1)</f>
        <v>=DISPIMG("ID_2F0B16667B07465880A7F828B4076D2A",1)</v>
      </c>
      <c r="D80" s="148" t="s">
        <v>20</v>
      </c>
      <c r="E80" s="148" t="s">
        <v>441</v>
      </c>
      <c r="F80" s="148" t="s">
        <v>54</v>
      </c>
      <c r="G80" s="152" t="s">
        <v>522</v>
      </c>
      <c r="H80" s="153">
        <v>44371</v>
      </c>
      <c r="I80" s="153" t="s">
        <v>422</v>
      </c>
      <c r="J80" s="153" t="s">
        <v>400</v>
      </c>
      <c r="K80" s="158"/>
      <c r="L80" s="158" t="s">
        <v>523</v>
      </c>
      <c r="M80" s="132"/>
      <c r="N80" s="160"/>
      <c r="O80" s="159">
        <v>44376</v>
      </c>
      <c r="P80" s="160"/>
      <c r="Q80" s="160"/>
      <c r="R80" s="160"/>
      <c r="S80" s="160"/>
      <c r="T80" s="163"/>
    </row>
    <row r="81" s="139" customFormat="1" ht="50.25" hidden="1" customHeight="1" spans="1:20">
      <c r="A81" s="117">
        <v>80</v>
      </c>
      <c r="B81" s="117">
        <v>401065040</v>
      </c>
      <c r="C81" s="117" t="str">
        <f>_xlfn.DISPIMG("ID_40201F8269274CD998AE3BFC3E5F01CF",1)</f>
        <v>=DISPIMG("ID_40201F8269274CD998AE3BFC3E5F01CF",1)</v>
      </c>
      <c r="D81" s="148" t="s">
        <v>20</v>
      </c>
      <c r="E81" s="148" t="s">
        <v>414</v>
      </c>
      <c r="F81" s="148" t="s">
        <v>50</v>
      </c>
      <c r="G81" s="152" t="s">
        <v>524</v>
      </c>
      <c r="H81" s="153">
        <v>44365</v>
      </c>
      <c r="I81" s="153" t="s">
        <v>411</v>
      </c>
      <c r="J81" s="153" t="s">
        <v>401</v>
      </c>
      <c r="K81" s="158" t="s">
        <v>525</v>
      </c>
      <c r="L81" s="158" t="s">
        <v>526</v>
      </c>
      <c r="M81" s="132"/>
      <c r="N81" s="160"/>
      <c r="O81" s="159"/>
      <c r="P81" s="160" t="s">
        <v>413</v>
      </c>
      <c r="Q81" s="160">
        <v>44424</v>
      </c>
      <c r="R81" s="160"/>
      <c r="S81" s="160"/>
      <c r="T81" s="163"/>
    </row>
    <row r="82" s="139" customFormat="1" ht="48.75" hidden="1" customHeight="1" spans="1:20">
      <c r="A82" s="117">
        <v>81</v>
      </c>
      <c r="B82" s="117" t="s">
        <v>527</v>
      </c>
      <c r="C82" s="117" t="str">
        <f>_xlfn.DISPIMG("ID_D784F685F334452F839F2DB709CDEE39",1)</f>
        <v>=DISPIMG("ID_D784F685F334452F839F2DB709CDEE39",1)</v>
      </c>
      <c r="D82" s="148" t="s">
        <v>20</v>
      </c>
      <c r="E82" s="148" t="s">
        <v>414</v>
      </c>
      <c r="F82" s="148" t="s">
        <v>50</v>
      </c>
      <c r="G82" s="152" t="s">
        <v>528</v>
      </c>
      <c r="H82" s="153">
        <v>44365</v>
      </c>
      <c r="I82" s="153" t="s">
        <v>411</v>
      </c>
      <c r="J82" s="153" t="s">
        <v>401</v>
      </c>
      <c r="K82" s="158" t="s">
        <v>46</v>
      </c>
      <c r="L82" s="158" t="s">
        <v>529</v>
      </c>
      <c r="M82" s="132"/>
      <c r="N82" s="160"/>
      <c r="O82" s="159"/>
      <c r="P82" s="160"/>
      <c r="Q82" s="160"/>
      <c r="R82" s="160"/>
      <c r="S82" s="160"/>
      <c r="T82" s="163"/>
    </row>
    <row r="83" s="139" customFormat="1" ht="42.75" hidden="1" customHeight="1" spans="1:20">
      <c r="A83" s="117">
        <v>82</v>
      </c>
      <c r="B83" s="117">
        <v>180778</v>
      </c>
      <c r="C83" s="117" t="str">
        <f>_xlfn.DISPIMG("ID_344CB4D7039D42D79D6C175CD5638DDC",1)</f>
        <v>=DISPIMG("ID_344CB4D7039D42D79D6C175CD5638DDC",1)</v>
      </c>
      <c r="D83" s="148" t="s">
        <v>20</v>
      </c>
      <c r="E83" s="148" t="s">
        <v>414</v>
      </c>
      <c r="F83" s="148" t="s">
        <v>50</v>
      </c>
      <c r="G83" s="152" t="s">
        <v>530</v>
      </c>
      <c r="H83" s="153">
        <v>44365</v>
      </c>
      <c r="I83" s="153" t="s">
        <v>422</v>
      </c>
      <c r="J83" s="153" t="s">
        <v>401</v>
      </c>
      <c r="K83" s="158"/>
      <c r="L83" s="158" t="s">
        <v>531</v>
      </c>
      <c r="M83" s="132"/>
      <c r="N83" s="160"/>
      <c r="O83" s="159">
        <v>44375</v>
      </c>
      <c r="P83" s="160" t="s">
        <v>413</v>
      </c>
      <c r="Q83" s="160">
        <v>44402</v>
      </c>
      <c r="R83" s="160"/>
      <c r="S83" s="160"/>
      <c r="T83" s="163"/>
    </row>
    <row r="84" s="139" customFormat="1" ht="55.5" hidden="1" customHeight="1" spans="1:20">
      <c r="A84" s="117">
        <v>83</v>
      </c>
      <c r="B84" s="117">
        <v>183093</v>
      </c>
      <c r="C84" s="117" t="str">
        <f>_xlfn.DISPIMG("ID_16C6762017D247878E7B51E14C60A7E7",1)</f>
        <v>=DISPIMG("ID_16C6762017D247878E7B51E14C60A7E7",1)</v>
      </c>
      <c r="D84" s="148" t="s">
        <v>20</v>
      </c>
      <c r="E84" s="148" t="s">
        <v>414</v>
      </c>
      <c r="F84" s="148" t="s">
        <v>50</v>
      </c>
      <c r="G84" s="152" t="s">
        <v>532</v>
      </c>
      <c r="H84" s="153">
        <v>44365</v>
      </c>
      <c r="I84" s="153" t="s">
        <v>422</v>
      </c>
      <c r="J84" s="153" t="s">
        <v>401</v>
      </c>
      <c r="K84" s="158"/>
      <c r="L84" s="158" t="s">
        <v>531</v>
      </c>
      <c r="M84" s="132"/>
      <c r="N84" s="160"/>
      <c r="O84" s="159">
        <v>44370</v>
      </c>
      <c r="P84" s="160" t="s">
        <v>413</v>
      </c>
      <c r="Q84" s="160">
        <v>44402</v>
      </c>
      <c r="R84" s="160"/>
      <c r="S84" s="160"/>
      <c r="T84" s="163"/>
    </row>
    <row r="85" s="139" customFormat="1" ht="58.5" hidden="1" customHeight="1" spans="1:20">
      <c r="A85" s="117">
        <v>84</v>
      </c>
      <c r="B85" s="117">
        <v>186707</v>
      </c>
      <c r="C85" s="117" t="str">
        <f>_xlfn.DISPIMG("ID_7640A0FC3AEF4E758BC5908C3B05AF72",1)</f>
        <v>=DISPIMG("ID_7640A0FC3AEF4E758BC5908C3B05AF72",1)</v>
      </c>
      <c r="D85" s="148" t="s">
        <v>20</v>
      </c>
      <c r="E85" s="148" t="s">
        <v>414</v>
      </c>
      <c r="F85" s="148" t="s">
        <v>50</v>
      </c>
      <c r="G85" s="152" t="s">
        <v>533</v>
      </c>
      <c r="H85" s="153">
        <v>44369</v>
      </c>
      <c r="I85" s="153" t="s">
        <v>411</v>
      </c>
      <c r="J85" s="153" t="s">
        <v>400</v>
      </c>
      <c r="K85" s="158" t="s">
        <v>39</v>
      </c>
      <c r="L85" s="158" t="s">
        <v>516</v>
      </c>
      <c r="M85" s="132"/>
      <c r="N85" s="160"/>
      <c r="O85" s="159"/>
      <c r="P85" s="160"/>
      <c r="Q85" s="160"/>
      <c r="R85" s="160"/>
      <c r="S85" s="160"/>
      <c r="T85" s="163"/>
    </row>
    <row r="86" s="139" customFormat="1" ht="52.5" hidden="1" customHeight="1" spans="1:20">
      <c r="A86" s="117">
        <v>85</v>
      </c>
      <c r="B86" s="117">
        <v>147651</v>
      </c>
      <c r="C86" s="117" t="str">
        <f>_xlfn.DISPIMG("ID_76CE179DAF814411915A80D8A3E54BCA",1)</f>
        <v>=DISPIMG("ID_76CE179DAF814411915A80D8A3E54BCA",1)</v>
      </c>
      <c r="D86" s="148" t="s">
        <v>20</v>
      </c>
      <c r="E86" s="148" t="s">
        <v>414</v>
      </c>
      <c r="F86" s="148" t="s">
        <v>56</v>
      </c>
      <c r="G86" s="152" t="s">
        <v>534</v>
      </c>
      <c r="H86" s="153">
        <v>44369</v>
      </c>
      <c r="I86" s="153" t="s">
        <v>411</v>
      </c>
      <c r="J86" s="153" t="s">
        <v>401</v>
      </c>
      <c r="K86" s="158" t="s">
        <v>452</v>
      </c>
      <c r="L86" s="158" t="s">
        <v>535</v>
      </c>
      <c r="M86" s="132"/>
      <c r="N86" s="160"/>
      <c r="O86" s="159"/>
      <c r="P86" s="160"/>
      <c r="Q86" s="160"/>
      <c r="R86" s="160"/>
      <c r="S86" s="160"/>
      <c r="T86" s="163"/>
    </row>
    <row r="87" s="139" customFormat="1" ht="59.25" hidden="1" customHeight="1" spans="1:20">
      <c r="A87" s="117">
        <v>86</v>
      </c>
      <c r="B87" s="117">
        <v>162048</v>
      </c>
      <c r="C87" s="117" t="str">
        <f>_xlfn.DISPIMG("ID_46BF8F954DB44189911C6F34012BB55B",1)</f>
        <v>=DISPIMG("ID_46BF8F954DB44189911C6F34012BB55B",1)</v>
      </c>
      <c r="D87" s="148" t="s">
        <v>20</v>
      </c>
      <c r="E87" s="148" t="s">
        <v>414</v>
      </c>
      <c r="F87" s="148" t="s">
        <v>56</v>
      </c>
      <c r="G87" s="152" t="s">
        <v>536</v>
      </c>
      <c r="H87" s="153">
        <v>44369</v>
      </c>
      <c r="I87" s="153" t="s">
        <v>411</v>
      </c>
      <c r="J87" s="153" t="s">
        <v>401</v>
      </c>
      <c r="K87" s="158" t="s">
        <v>452</v>
      </c>
      <c r="L87" s="158" t="s">
        <v>535</v>
      </c>
      <c r="M87" s="132"/>
      <c r="N87" s="160"/>
      <c r="O87" s="159"/>
      <c r="P87" s="160"/>
      <c r="Q87" s="160"/>
      <c r="R87" s="160"/>
      <c r="S87" s="160"/>
      <c r="T87" s="163"/>
    </row>
    <row r="88" s="139" customFormat="1" ht="53.25" hidden="1" customHeight="1" spans="1:20">
      <c r="A88" s="117">
        <v>87</v>
      </c>
      <c r="B88" s="117">
        <v>170260</v>
      </c>
      <c r="C88" s="117" t="str">
        <f>_xlfn.DISPIMG("ID_F1F482F4BE5E45C199C4CD2D20BBCF88",1)</f>
        <v>=DISPIMG("ID_F1F482F4BE5E45C199C4CD2D20BBCF88",1)</v>
      </c>
      <c r="D88" s="148" t="s">
        <v>20</v>
      </c>
      <c r="E88" s="148" t="s">
        <v>414</v>
      </c>
      <c r="F88" s="148" t="s">
        <v>56</v>
      </c>
      <c r="G88" s="152" t="s">
        <v>537</v>
      </c>
      <c r="H88" s="153">
        <v>44371</v>
      </c>
      <c r="I88" s="153" t="s">
        <v>411</v>
      </c>
      <c r="J88" s="153" t="s">
        <v>401</v>
      </c>
      <c r="K88" s="158" t="s">
        <v>41</v>
      </c>
      <c r="L88" s="158" t="s">
        <v>538</v>
      </c>
      <c r="M88" s="132"/>
      <c r="N88" s="160"/>
      <c r="O88" s="159"/>
      <c r="P88" s="160"/>
      <c r="Q88" s="160"/>
      <c r="R88" s="160"/>
      <c r="S88" s="160"/>
      <c r="T88" s="163"/>
    </row>
    <row r="89" s="139" customFormat="1" ht="72" hidden="1" customHeight="1" spans="1:20">
      <c r="A89" s="117">
        <v>88</v>
      </c>
      <c r="B89" s="117">
        <v>185157</v>
      </c>
      <c r="C89" s="117" t="str">
        <f>_xlfn.DISPIMG("ID_E7C1312425774AFF9C0AA0B479533096",1)</f>
        <v>=DISPIMG("ID_E7C1312425774AFF9C0AA0B479533096",1)</v>
      </c>
      <c r="D89" s="148" t="s">
        <v>20</v>
      </c>
      <c r="E89" s="148" t="s">
        <v>414</v>
      </c>
      <c r="F89" s="148" t="s">
        <v>56</v>
      </c>
      <c r="G89" s="152" t="s">
        <v>539</v>
      </c>
      <c r="H89" s="153">
        <v>44369</v>
      </c>
      <c r="I89" s="153" t="s">
        <v>411</v>
      </c>
      <c r="J89" s="153" t="s">
        <v>401</v>
      </c>
      <c r="K89" s="158" t="s">
        <v>452</v>
      </c>
      <c r="L89" s="158" t="s">
        <v>538</v>
      </c>
      <c r="M89" s="132"/>
      <c r="N89" s="160"/>
      <c r="O89" s="159"/>
      <c r="P89" s="160"/>
      <c r="Q89" s="160"/>
      <c r="R89" s="160"/>
      <c r="S89" s="160"/>
      <c r="T89" s="163"/>
    </row>
    <row r="90" s="139" customFormat="1" ht="37" hidden="1" customHeight="1" spans="1:20">
      <c r="A90" s="117">
        <v>91</v>
      </c>
      <c r="B90" s="117" t="s">
        <v>540</v>
      </c>
      <c r="C90" s="117" t="str">
        <f>_xlfn.DISPIMG("ID_6144E4D3BBCB4C4B9E89EF1A70924D3B",1)</f>
        <v>=DISPIMG("ID_6144E4D3BBCB4C4B9E89EF1A70924D3B",1)</v>
      </c>
      <c r="D90" s="148" t="s">
        <v>20</v>
      </c>
      <c r="E90" s="148" t="s">
        <v>414</v>
      </c>
      <c r="F90" s="148" t="s">
        <v>24</v>
      </c>
      <c r="G90" s="152" t="s">
        <v>541</v>
      </c>
      <c r="H90" s="153">
        <v>44281</v>
      </c>
      <c r="I90" s="153" t="s">
        <v>422</v>
      </c>
      <c r="J90" s="153" t="s">
        <v>400</v>
      </c>
      <c r="K90" s="158"/>
      <c r="L90" s="165" t="s">
        <v>542</v>
      </c>
      <c r="M90" s="132"/>
      <c r="N90" s="160"/>
      <c r="O90" s="159">
        <v>44382</v>
      </c>
      <c r="P90" s="160"/>
      <c r="Q90" s="160"/>
      <c r="R90" s="160"/>
      <c r="S90" s="160"/>
      <c r="T90" s="148" t="s">
        <v>418</v>
      </c>
    </row>
    <row r="91" s="139" customFormat="1" ht="37" hidden="1" customHeight="1" spans="1:20">
      <c r="A91" s="117">
        <v>92</v>
      </c>
      <c r="B91" s="117">
        <v>179431</v>
      </c>
      <c r="C91" s="117" t="str">
        <f>_xlfn.DISPIMG("ID_AE8BD6C715C84FADAE5D249F7F1B782D",1)</f>
        <v>=DISPIMG("ID_AE8BD6C715C84FADAE5D249F7F1B782D",1)</v>
      </c>
      <c r="D91" s="148" t="s">
        <v>20</v>
      </c>
      <c r="E91" s="148" t="s">
        <v>414</v>
      </c>
      <c r="F91" s="148" t="s">
        <v>24</v>
      </c>
      <c r="G91" s="152" t="s">
        <v>543</v>
      </c>
      <c r="H91" s="153">
        <v>44356</v>
      </c>
      <c r="I91" s="153" t="s">
        <v>422</v>
      </c>
      <c r="J91" s="153" t="s">
        <v>400</v>
      </c>
      <c r="K91" s="158"/>
      <c r="L91" s="165" t="s">
        <v>542</v>
      </c>
      <c r="M91" s="132"/>
      <c r="N91" s="160"/>
      <c r="O91" s="159">
        <v>44382</v>
      </c>
      <c r="P91" s="160"/>
      <c r="Q91" s="160"/>
      <c r="R91" s="160"/>
      <c r="S91" s="160"/>
      <c r="T91" s="148" t="s">
        <v>418</v>
      </c>
    </row>
    <row r="92" s="139" customFormat="1" ht="49.5" hidden="1" customHeight="1" spans="1:20">
      <c r="A92" s="117">
        <v>93</v>
      </c>
      <c r="B92" s="117">
        <v>185156</v>
      </c>
      <c r="C92" s="117" t="str">
        <f>_xlfn.DISPIMG("ID_5803D809F4DB4481A99281CA7FFC3E44",1)</f>
        <v>=DISPIMG("ID_5803D809F4DB4481A99281CA7FFC3E44",1)</v>
      </c>
      <c r="D92" s="148" t="s">
        <v>20</v>
      </c>
      <c r="E92" s="148" t="s">
        <v>414</v>
      </c>
      <c r="F92" s="148" t="s">
        <v>24</v>
      </c>
      <c r="G92" s="152" t="s">
        <v>544</v>
      </c>
      <c r="H92" s="153">
        <v>44293</v>
      </c>
      <c r="I92" s="153" t="s">
        <v>411</v>
      </c>
      <c r="J92" s="153" t="s">
        <v>401</v>
      </c>
      <c r="K92" s="158" t="s">
        <v>452</v>
      </c>
      <c r="L92" s="158" t="s">
        <v>545</v>
      </c>
      <c r="M92" s="132"/>
      <c r="N92" s="160"/>
      <c r="O92" s="159"/>
      <c r="P92" s="160">
        <v>44387</v>
      </c>
      <c r="Q92" s="160">
        <v>44409</v>
      </c>
      <c r="R92" s="160"/>
      <c r="S92" s="160"/>
      <c r="T92" s="163"/>
    </row>
    <row r="93" s="139" customFormat="1" ht="49.5" hidden="1" customHeight="1" spans="1:20">
      <c r="A93" s="117">
        <v>89</v>
      </c>
      <c r="B93" s="117" t="s">
        <v>546</v>
      </c>
      <c r="C93" s="117" t="str">
        <f>_xlfn.DISPIMG("ID_2E00D8934DB848D1AC6C9911FE494DFF",1)</f>
        <v>=DISPIMG("ID_2E00D8934DB848D1AC6C9911FE494DFF",1)</v>
      </c>
      <c r="D93" s="148" t="s">
        <v>20</v>
      </c>
      <c r="E93" s="148" t="s">
        <v>414</v>
      </c>
      <c r="F93" s="148" t="s">
        <v>24</v>
      </c>
      <c r="G93" s="152" t="s">
        <v>547</v>
      </c>
      <c r="H93" s="153">
        <v>44273</v>
      </c>
      <c r="I93" s="153" t="s">
        <v>422</v>
      </c>
      <c r="J93" s="153" t="s">
        <v>400</v>
      </c>
      <c r="K93" s="158"/>
      <c r="L93" s="165" t="s">
        <v>548</v>
      </c>
      <c r="M93" s="132"/>
      <c r="N93" s="160"/>
      <c r="O93" s="159">
        <v>44382</v>
      </c>
      <c r="P93" s="160"/>
      <c r="Q93" s="160"/>
      <c r="R93" s="160"/>
      <c r="S93" s="160"/>
      <c r="T93" s="163"/>
    </row>
    <row r="94" s="139" customFormat="1" ht="50.25" hidden="1" customHeight="1" spans="1:20">
      <c r="A94" s="117">
        <v>90</v>
      </c>
      <c r="B94" s="117" t="s">
        <v>549</v>
      </c>
      <c r="C94" s="117" t="str">
        <f>_xlfn.DISPIMG("ID_A4C37B48D3794BB0B774C9854D91160D",1)</f>
        <v>=DISPIMG("ID_A4C37B48D3794BB0B774C9854D91160D",1)</v>
      </c>
      <c r="D94" s="148" t="s">
        <v>20</v>
      </c>
      <c r="E94" s="148" t="s">
        <v>414</v>
      </c>
      <c r="F94" s="148" t="s">
        <v>24</v>
      </c>
      <c r="G94" s="152" t="s">
        <v>550</v>
      </c>
      <c r="H94" s="153">
        <v>44273</v>
      </c>
      <c r="I94" s="153" t="s">
        <v>411</v>
      </c>
      <c r="J94" s="153" t="s">
        <v>401</v>
      </c>
      <c r="K94" s="158"/>
      <c r="L94" s="165" t="s">
        <v>383</v>
      </c>
      <c r="M94" s="132"/>
      <c r="N94" s="160">
        <v>44390</v>
      </c>
      <c r="O94" s="159"/>
      <c r="P94" s="160"/>
      <c r="Q94" s="160"/>
      <c r="R94" s="160"/>
      <c r="S94" s="160"/>
      <c r="T94" s="163"/>
    </row>
    <row r="95" s="139" customFormat="1" ht="62.25" hidden="1" customHeight="1" spans="1:20">
      <c r="A95" s="117">
        <v>94</v>
      </c>
      <c r="B95" s="117">
        <v>415445038</v>
      </c>
      <c r="C95" s="117" t="str">
        <f>_xlfn.DISPIMG("ID_3D492C4E86634C0BA90A3491AA680DC1",1)</f>
        <v>=DISPIMG("ID_3D492C4E86634C0BA90A3491AA680DC1",1)</v>
      </c>
      <c r="D95" s="148" t="s">
        <v>20</v>
      </c>
      <c r="E95" s="148" t="s">
        <v>414</v>
      </c>
      <c r="F95" s="148" t="s">
        <v>24</v>
      </c>
      <c r="G95" s="152" t="s">
        <v>551</v>
      </c>
      <c r="H95" s="153">
        <v>44335</v>
      </c>
      <c r="I95" s="153" t="s">
        <v>411</v>
      </c>
      <c r="J95" s="153" t="s">
        <v>401</v>
      </c>
      <c r="K95" s="158" t="s">
        <v>552</v>
      </c>
      <c r="L95" s="158" t="s">
        <v>553</v>
      </c>
      <c r="M95" s="132"/>
      <c r="N95" s="160"/>
      <c r="O95" s="159"/>
      <c r="P95" s="159" t="s">
        <v>413</v>
      </c>
      <c r="Q95" s="160">
        <v>44390</v>
      </c>
      <c r="R95" s="160"/>
      <c r="S95" s="160"/>
      <c r="T95" s="163"/>
    </row>
    <row r="96" s="139" customFormat="1" ht="51" hidden="1" customHeight="1" spans="1:20">
      <c r="A96" s="117">
        <v>96</v>
      </c>
      <c r="B96" s="163"/>
      <c r="C96" s="117" t="str">
        <f>_xlfn.DISPIMG("ID_0DAAC51000EE430F83D9687EFBF3AA44",1)</f>
        <v>=DISPIMG("ID_0DAAC51000EE430F83D9687EFBF3AA44",1)</v>
      </c>
      <c r="D96" s="148" t="s">
        <v>20</v>
      </c>
      <c r="E96" s="148" t="s">
        <v>414</v>
      </c>
      <c r="F96" s="148" t="s">
        <v>19</v>
      </c>
      <c r="G96" s="152" t="s">
        <v>554</v>
      </c>
      <c r="H96" s="153">
        <v>44365</v>
      </c>
      <c r="I96" s="153" t="s">
        <v>411</v>
      </c>
      <c r="J96" s="153" t="s">
        <v>401</v>
      </c>
      <c r="K96" s="158" t="s">
        <v>555</v>
      </c>
      <c r="L96" s="165" t="s">
        <v>556</v>
      </c>
      <c r="M96" s="132"/>
      <c r="N96" s="160"/>
      <c r="O96" s="159"/>
      <c r="P96" s="160"/>
      <c r="Q96" s="160"/>
      <c r="R96" s="160"/>
      <c r="S96" s="160"/>
      <c r="T96" s="163"/>
    </row>
    <row r="97" s="139" customFormat="1" ht="49.5" hidden="1" customHeight="1" spans="1:20">
      <c r="A97" s="117">
        <v>99</v>
      </c>
      <c r="B97" s="117" t="s">
        <v>557</v>
      </c>
      <c r="C97" s="117" t="str">
        <f>_xlfn.DISPIMG("ID_2405D90ED4F140C287142DA9718216EE",1)</f>
        <v>=DISPIMG("ID_2405D90ED4F140C287142DA9718216EE",1)</v>
      </c>
      <c r="D97" s="148" t="s">
        <v>20</v>
      </c>
      <c r="E97" s="148" t="s">
        <v>414</v>
      </c>
      <c r="F97" s="148" t="s">
        <v>19</v>
      </c>
      <c r="G97" s="152" t="s">
        <v>558</v>
      </c>
      <c r="H97" s="153">
        <v>44376</v>
      </c>
      <c r="I97" s="153" t="s">
        <v>411</v>
      </c>
      <c r="J97" s="153" t="s">
        <v>401</v>
      </c>
      <c r="K97" s="158" t="s">
        <v>559</v>
      </c>
      <c r="L97" s="165" t="s">
        <v>556</v>
      </c>
      <c r="M97" s="132"/>
      <c r="N97" s="160"/>
      <c r="O97" s="159"/>
      <c r="P97" s="160"/>
      <c r="Q97" s="160"/>
      <c r="R97" s="160"/>
      <c r="S97" s="160"/>
      <c r="T97" s="163"/>
    </row>
    <row r="98" s="139" customFormat="1" ht="48.75" hidden="1" customHeight="1" spans="1:20">
      <c r="A98" s="117">
        <v>100</v>
      </c>
      <c r="B98" s="117">
        <v>19662918</v>
      </c>
      <c r="C98" s="117" t="str">
        <f>_xlfn.DISPIMG("ID_B62D1B622672411695D1DF01CE90E1B1",1)</f>
        <v>=DISPIMG("ID_B62D1B622672411695D1DF01CE90E1B1",1)</v>
      </c>
      <c r="D98" s="148" t="s">
        <v>20</v>
      </c>
      <c r="E98" s="148" t="s">
        <v>414</v>
      </c>
      <c r="F98" s="148" t="s">
        <v>19</v>
      </c>
      <c r="G98" s="152" t="s">
        <v>560</v>
      </c>
      <c r="H98" s="153">
        <v>44371</v>
      </c>
      <c r="I98" s="153" t="s">
        <v>411</v>
      </c>
      <c r="J98" s="153" t="s">
        <v>401</v>
      </c>
      <c r="K98" s="158" t="s">
        <v>39</v>
      </c>
      <c r="L98" s="165" t="s">
        <v>556</v>
      </c>
      <c r="M98" s="132"/>
      <c r="N98" s="160"/>
      <c r="O98" s="159"/>
      <c r="P98" s="160"/>
      <c r="Q98" s="160"/>
      <c r="R98" s="160"/>
      <c r="S98" s="160"/>
      <c r="T98" s="163"/>
    </row>
    <row r="99" s="139" customFormat="1" ht="47.25" hidden="1" customHeight="1" spans="1:20">
      <c r="A99" s="117">
        <v>95</v>
      </c>
      <c r="B99" s="117">
        <v>16207508</v>
      </c>
      <c r="C99" s="117" t="str">
        <f>_xlfn.DISPIMG("ID_49EA8BE26CCD491FB78F4B2798640BD2",1)</f>
        <v>=DISPIMG("ID_49EA8BE26CCD491FB78F4B2798640BD2",1)</v>
      </c>
      <c r="D99" s="148" t="s">
        <v>20</v>
      </c>
      <c r="E99" s="148" t="s">
        <v>414</v>
      </c>
      <c r="F99" s="148" t="s">
        <v>22</v>
      </c>
      <c r="G99" s="152" t="s">
        <v>561</v>
      </c>
      <c r="H99" s="153">
        <v>44365</v>
      </c>
      <c r="I99" s="153" t="s">
        <v>411</v>
      </c>
      <c r="J99" s="153" t="s">
        <v>401</v>
      </c>
      <c r="K99" s="158" t="s">
        <v>39</v>
      </c>
      <c r="L99" s="158" t="s">
        <v>562</v>
      </c>
      <c r="M99" s="132"/>
      <c r="N99" s="160"/>
      <c r="O99" s="159"/>
      <c r="P99" s="160"/>
      <c r="Q99" s="160"/>
      <c r="R99" s="160"/>
      <c r="S99" s="160"/>
      <c r="T99" s="163"/>
    </row>
    <row r="100" s="139" customFormat="1" ht="73.5" hidden="1" customHeight="1" spans="1:20">
      <c r="A100" s="117">
        <v>106</v>
      </c>
      <c r="B100" s="117">
        <v>198662</v>
      </c>
      <c r="C100" s="117" t="str">
        <f>_xlfn.DISPIMG("ID_0798052B29DA42A191B17829437A2CFE",1)</f>
        <v>=DISPIMG("ID_0798052B29DA42A191B17829437A2CFE",1)</v>
      </c>
      <c r="D100" s="148" t="s">
        <v>20</v>
      </c>
      <c r="E100" s="148" t="s">
        <v>414</v>
      </c>
      <c r="F100" s="148" t="s">
        <v>19</v>
      </c>
      <c r="G100" s="152" t="s">
        <v>563</v>
      </c>
      <c r="H100" s="153">
        <v>44376</v>
      </c>
      <c r="I100" s="153" t="s">
        <v>411</v>
      </c>
      <c r="J100" s="153" t="s">
        <v>401</v>
      </c>
      <c r="L100" s="166" t="s">
        <v>564</v>
      </c>
      <c r="M100" s="132"/>
      <c r="N100" s="160"/>
      <c r="O100" s="159"/>
      <c r="P100" s="160"/>
      <c r="Q100" s="160"/>
      <c r="R100" s="160"/>
      <c r="S100" s="160"/>
      <c r="T100" s="163"/>
    </row>
    <row r="101" s="139" customFormat="1" ht="55.5" hidden="1" customHeight="1" spans="1:20">
      <c r="A101" s="117">
        <v>97</v>
      </c>
      <c r="B101" s="117">
        <v>19773208</v>
      </c>
      <c r="C101" s="117" t="str">
        <f>_xlfn.DISPIMG("ID_8270BC2BD19D4F289742869FBFD23088",1)</f>
        <v>=DISPIMG("ID_8270BC2BD19D4F289742869FBFD23088",1)</v>
      </c>
      <c r="D101" s="148" t="s">
        <v>20</v>
      </c>
      <c r="E101" s="148" t="s">
        <v>414</v>
      </c>
      <c r="F101" s="148" t="s">
        <v>19</v>
      </c>
      <c r="G101" s="152" t="s">
        <v>565</v>
      </c>
      <c r="H101" s="153">
        <v>44365</v>
      </c>
      <c r="I101" s="153" t="s">
        <v>411</v>
      </c>
      <c r="J101" s="153" t="s">
        <v>400</v>
      </c>
      <c r="K101" s="158" t="s">
        <v>566</v>
      </c>
      <c r="L101" s="158" t="s">
        <v>567</v>
      </c>
      <c r="M101" s="132"/>
      <c r="N101" s="160"/>
      <c r="O101" s="159"/>
      <c r="P101" s="160"/>
      <c r="Q101" s="160"/>
      <c r="R101" s="160"/>
      <c r="S101" s="160"/>
      <c r="T101" s="163"/>
    </row>
    <row r="102" s="139" customFormat="1" ht="49.5" hidden="1" customHeight="1" spans="1:20">
      <c r="A102" s="117">
        <v>98</v>
      </c>
      <c r="B102" s="117">
        <v>215374</v>
      </c>
      <c r="C102" s="117" t="str">
        <f>_xlfn.DISPIMG("ID_3F460E2F7F3946019666C896611382FD",1)</f>
        <v>=DISPIMG("ID_3F460E2F7F3946019666C896611382FD",1)</v>
      </c>
      <c r="D102" s="148" t="s">
        <v>20</v>
      </c>
      <c r="E102" s="148" t="s">
        <v>441</v>
      </c>
      <c r="F102" s="148" t="s">
        <v>19</v>
      </c>
      <c r="G102" s="152" t="s">
        <v>568</v>
      </c>
      <c r="H102" s="153">
        <v>44285</v>
      </c>
      <c r="I102" s="153" t="s">
        <v>422</v>
      </c>
      <c r="J102" s="153" t="s">
        <v>400</v>
      </c>
      <c r="K102" s="158"/>
      <c r="L102" s="165" t="s">
        <v>569</v>
      </c>
      <c r="M102" s="132"/>
      <c r="N102" s="160"/>
      <c r="O102" s="159">
        <v>44310</v>
      </c>
      <c r="P102" s="160"/>
      <c r="Q102" s="160"/>
      <c r="R102" s="160"/>
      <c r="S102" s="160"/>
      <c r="T102" s="163"/>
    </row>
    <row r="103" s="139" customFormat="1" ht="68.25" hidden="1" customHeight="1" spans="1:20">
      <c r="A103" s="117">
        <v>107</v>
      </c>
      <c r="B103" s="117">
        <v>198658</v>
      </c>
      <c r="C103" s="117" t="str">
        <f>_xlfn.DISPIMG("ID_7B32266D81744C02AA8599CA27D97CFF",1)</f>
        <v>=DISPIMG("ID_7B32266D81744C02AA8599CA27D97CFF",1)</v>
      </c>
      <c r="D103" s="148" t="s">
        <v>20</v>
      </c>
      <c r="E103" s="148" t="s">
        <v>414</v>
      </c>
      <c r="F103" s="148" t="s">
        <v>19</v>
      </c>
      <c r="G103" s="152" t="s">
        <v>570</v>
      </c>
      <c r="H103" s="153">
        <v>44365</v>
      </c>
      <c r="I103" s="153" t="s">
        <v>411</v>
      </c>
      <c r="J103" s="153" t="s">
        <v>401</v>
      </c>
      <c r="K103" s="158" t="s">
        <v>571</v>
      </c>
      <c r="L103" s="165" t="s">
        <v>556</v>
      </c>
      <c r="M103" s="132"/>
      <c r="N103" s="160"/>
      <c r="O103" s="159"/>
      <c r="P103" s="160"/>
      <c r="Q103" s="160"/>
      <c r="R103" s="160"/>
      <c r="S103" s="160"/>
      <c r="T103" s="163"/>
    </row>
    <row r="104" s="139" customFormat="1" ht="62.25" customHeight="1" spans="1:20">
      <c r="A104" s="117">
        <v>69</v>
      </c>
      <c r="B104" s="117">
        <v>406145038</v>
      </c>
      <c r="C104" s="117" t="str">
        <f>_xlfn.DISPIMG("ID_790F087C16084D9FA71385456C5F36F0",1)</f>
        <v>=DISPIMG("ID_790F087C16084D9FA71385456C5F36F0",1)</v>
      </c>
      <c r="D104" s="148" t="s">
        <v>20</v>
      </c>
      <c r="E104" s="148" t="s">
        <v>441</v>
      </c>
      <c r="F104" s="148" t="s">
        <v>54</v>
      </c>
      <c r="G104" s="152" t="s">
        <v>572</v>
      </c>
      <c r="H104" s="153">
        <v>44369</v>
      </c>
      <c r="I104" s="153" t="s">
        <v>422</v>
      </c>
      <c r="J104" s="153" t="s">
        <v>400</v>
      </c>
      <c r="K104" s="158"/>
      <c r="L104" s="158" t="s">
        <v>523</v>
      </c>
      <c r="M104" s="132"/>
      <c r="N104" s="160"/>
      <c r="O104" s="159">
        <v>44372</v>
      </c>
      <c r="P104" s="160"/>
      <c r="Q104" s="160"/>
      <c r="R104" s="160"/>
      <c r="S104" s="160"/>
      <c r="T104" s="163"/>
    </row>
    <row r="105" s="139" customFormat="1" ht="75" hidden="1" customHeight="1" spans="1:20">
      <c r="A105" s="117">
        <v>101</v>
      </c>
      <c r="B105" s="117">
        <v>182725</v>
      </c>
      <c r="C105" s="117" t="str">
        <f>_xlfn.DISPIMG("ID_85D0AB9B8E154F2F9686EE536C82577E",1)</f>
        <v>=DISPIMG("ID_85D0AB9B8E154F2F9686EE536C82577E",1)</v>
      </c>
      <c r="D105" s="148" t="s">
        <v>20</v>
      </c>
      <c r="E105" s="148" t="s">
        <v>414</v>
      </c>
      <c r="F105" s="148" t="s">
        <v>19</v>
      </c>
      <c r="G105" s="152" t="s">
        <v>99</v>
      </c>
      <c r="H105" s="153">
        <v>44293</v>
      </c>
      <c r="I105" s="153" t="s">
        <v>411</v>
      </c>
      <c r="J105" s="153" t="s">
        <v>400</v>
      </c>
      <c r="K105" s="158" t="s">
        <v>22</v>
      </c>
      <c r="L105" s="158" t="s">
        <v>573</v>
      </c>
      <c r="M105" s="132"/>
      <c r="N105" s="160"/>
      <c r="O105" s="159">
        <v>44334</v>
      </c>
      <c r="P105" s="160"/>
      <c r="Q105" s="160"/>
      <c r="R105" s="160"/>
      <c r="S105" s="160"/>
      <c r="T105" s="163"/>
    </row>
    <row r="106" s="139" customFormat="1" ht="65.25" customHeight="1" spans="1:20">
      <c r="A106" s="117">
        <v>72</v>
      </c>
      <c r="B106" s="117">
        <v>409869038</v>
      </c>
      <c r="C106" s="117" t="str">
        <f>_xlfn.DISPIMG("ID_F66F99F391B34FE9AE0D1E8A234D025D",1)</f>
        <v>=DISPIMG("ID_F66F99F391B34FE9AE0D1E8A234D025D",1)</v>
      </c>
      <c r="D106" s="148" t="s">
        <v>20</v>
      </c>
      <c r="E106" s="148" t="s">
        <v>441</v>
      </c>
      <c r="F106" s="148" t="s">
        <v>54</v>
      </c>
      <c r="G106" s="152" t="s">
        <v>574</v>
      </c>
      <c r="H106" s="153">
        <v>44369</v>
      </c>
      <c r="I106" s="153" t="s">
        <v>422</v>
      </c>
      <c r="J106" s="153" t="s">
        <v>400</v>
      </c>
      <c r="K106" s="158"/>
      <c r="L106" s="158" t="s">
        <v>523</v>
      </c>
      <c r="M106" s="132"/>
      <c r="N106" s="160"/>
      <c r="O106" s="159">
        <v>44372</v>
      </c>
      <c r="P106" s="160"/>
      <c r="Q106" s="160"/>
      <c r="R106" s="160"/>
      <c r="S106" s="160"/>
      <c r="T106" s="163"/>
    </row>
    <row r="107" s="139" customFormat="1" ht="62.25" hidden="1" customHeight="1" spans="1:20">
      <c r="A107" s="117">
        <v>103</v>
      </c>
      <c r="B107" s="117">
        <v>411495038</v>
      </c>
      <c r="C107" s="117" t="str">
        <f>_xlfn.DISPIMG("ID_DE7A6ED5DF2D40978A8472EA9A10DABC",1)</f>
        <v>=DISPIMG("ID_DE7A6ED5DF2D40978A8472EA9A10DABC",1)</v>
      </c>
      <c r="D107" s="148" t="s">
        <v>20</v>
      </c>
      <c r="E107" s="148" t="s">
        <v>441</v>
      </c>
      <c r="F107" s="148" t="s">
        <v>19</v>
      </c>
      <c r="G107" s="152" t="s">
        <v>575</v>
      </c>
      <c r="H107" s="153">
        <v>44356</v>
      </c>
      <c r="I107" s="153" t="s">
        <v>411</v>
      </c>
      <c r="J107" s="153" t="s">
        <v>400</v>
      </c>
      <c r="K107" s="158"/>
      <c r="L107" s="158" t="s">
        <v>576</v>
      </c>
      <c r="M107" s="132"/>
      <c r="N107" s="160"/>
      <c r="O107" s="159"/>
      <c r="P107" s="160"/>
      <c r="Q107" s="160"/>
      <c r="R107" s="160"/>
      <c r="S107" s="160"/>
      <c r="T107" s="163"/>
    </row>
    <row r="108" s="139" customFormat="1" ht="49.5" hidden="1" customHeight="1" spans="1:20">
      <c r="A108" s="117">
        <v>104</v>
      </c>
      <c r="B108" s="117">
        <v>194373</v>
      </c>
      <c r="C108" s="117" t="str">
        <f>_xlfn.DISPIMG("ID_6976DC8330DB40C88FC16B35C43C5230",1)</f>
        <v>=DISPIMG("ID_6976DC8330DB40C88FC16B35C43C5230",1)</v>
      </c>
      <c r="D108" s="148" t="s">
        <v>20</v>
      </c>
      <c r="E108" s="148" t="s">
        <v>441</v>
      </c>
      <c r="F108" s="148" t="s">
        <v>19</v>
      </c>
      <c r="G108" s="152" t="s">
        <v>577</v>
      </c>
      <c r="H108" s="153">
        <v>44285</v>
      </c>
      <c r="I108" s="153" t="s">
        <v>422</v>
      </c>
      <c r="J108" s="153" t="s">
        <v>400</v>
      </c>
      <c r="K108" s="158"/>
      <c r="L108" s="167" t="s">
        <v>578</v>
      </c>
      <c r="M108" s="132"/>
      <c r="N108" s="160"/>
      <c r="O108" s="159">
        <v>44295</v>
      </c>
      <c r="P108" s="160"/>
      <c r="Q108" s="160"/>
      <c r="R108" s="160"/>
      <c r="S108" s="160"/>
      <c r="T108" s="163"/>
    </row>
    <row r="109" s="139" customFormat="1" ht="66" hidden="1" customHeight="1" spans="1:20">
      <c r="A109" s="117">
        <v>105</v>
      </c>
      <c r="B109" s="117" t="s">
        <v>579</v>
      </c>
      <c r="C109" s="117" t="str">
        <f>_xlfn.DISPIMG("ID_2FC115510B1949DC97D252E9BA58DD62",1)</f>
        <v>=DISPIMG("ID_2FC115510B1949DC97D252E9BA58DD62",1)</v>
      </c>
      <c r="D109" s="148" t="s">
        <v>20</v>
      </c>
      <c r="E109" s="148" t="s">
        <v>441</v>
      </c>
      <c r="F109" s="148" t="s">
        <v>19</v>
      </c>
      <c r="G109" s="152" t="s">
        <v>580</v>
      </c>
      <c r="H109" s="153">
        <v>44267</v>
      </c>
      <c r="I109" s="153" t="s">
        <v>411</v>
      </c>
      <c r="J109" s="153" t="s">
        <v>400</v>
      </c>
      <c r="K109" s="158"/>
      <c r="L109" s="158" t="s">
        <v>576</v>
      </c>
      <c r="M109" s="132"/>
      <c r="N109" s="160"/>
      <c r="O109" s="159"/>
      <c r="P109" s="160"/>
      <c r="Q109" s="160"/>
      <c r="R109" s="160"/>
      <c r="S109" s="160"/>
      <c r="T109" s="163"/>
    </row>
    <row r="110" s="139" customFormat="1" ht="57" customHeight="1" spans="1:20">
      <c r="A110" s="117">
        <v>76</v>
      </c>
      <c r="B110" s="117">
        <v>202054</v>
      </c>
      <c r="C110" s="117" t="str">
        <f>_xlfn.DISPIMG("ID_086D7D0FFB8448FB80CE8D3AE50EA887",1)</f>
        <v>=DISPIMG("ID_086D7D0FFB8448FB80CE8D3AE50EA887",1)</v>
      </c>
      <c r="D110" s="148" t="s">
        <v>20</v>
      </c>
      <c r="E110" s="148" t="s">
        <v>441</v>
      </c>
      <c r="F110" s="148" t="s">
        <v>54</v>
      </c>
      <c r="G110" s="152" t="s">
        <v>581</v>
      </c>
      <c r="H110" s="153">
        <v>44369</v>
      </c>
      <c r="I110" s="153" t="s">
        <v>422</v>
      </c>
      <c r="J110" s="153" t="s">
        <v>400</v>
      </c>
      <c r="K110" s="158"/>
      <c r="L110" s="165" t="s">
        <v>582</v>
      </c>
      <c r="M110" s="132"/>
      <c r="N110" s="160"/>
      <c r="O110" s="159">
        <v>44372</v>
      </c>
      <c r="P110" s="160"/>
      <c r="Q110" s="160"/>
      <c r="R110" s="160"/>
      <c r="S110" s="160"/>
      <c r="T110" s="163"/>
    </row>
    <row r="111" s="139" customFormat="1" ht="52.5" hidden="1" customHeight="1" spans="1:20">
      <c r="A111" s="117">
        <v>102</v>
      </c>
      <c r="B111" s="117">
        <v>400585040</v>
      </c>
      <c r="C111" s="117" t="str">
        <f>_xlfn.DISPIMG("ID_345ABA050F4B4A6C957257F841B76BFA",1)</f>
        <v>=DISPIMG("ID_345ABA050F4B4A6C957257F841B76BFA",1)</v>
      </c>
      <c r="D111" s="148" t="s">
        <v>20</v>
      </c>
      <c r="E111" s="148" t="s">
        <v>441</v>
      </c>
      <c r="F111" s="148" t="s">
        <v>19</v>
      </c>
      <c r="G111" s="152" t="s">
        <v>168</v>
      </c>
      <c r="H111" s="153">
        <v>44354</v>
      </c>
      <c r="I111" s="153" t="s">
        <v>422</v>
      </c>
      <c r="J111" s="153" t="s">
        <v>401</v>
      </c>
      <c r="K111" s="158"/>
      <c r="L111" s="165" t="s">
        <v>583</v>
      </c>
      <c r="M111" s="132"/>
      <c r="N111" s="160"/>
      <c r="O111" s="159">
        <v>44357</v>
      </c>
      <c r="P111" s="160"/>
      <c r="Q111" s="160"/>
      <c r="R111" s="160"/>
      <c r="S111" s="160"/>
      <c r="T111" s="148" t="s">
        <v>418</v>
      </c>
    </row>
    <row r="112" s="139" customFormat="1" ht="44" hidden="1" customHeight="1" spans="1:20">
      <c r="A112" s="117">
        <v>108</v>
      </c>
      <c r="B112" s="117"/>
      <c r="C112" s="107" t="str">
        <f>_xlfn.DISPIMG("ID_FCC36832B0E54901B2452825CE371F81",1)</f>
        <v>=DISPIMG("ID_FCC36832B0E54901B2452825CE371F81",1)</v>
      </c>
      <c r="D112" s="148" t="s">
        <v>20</v>
      </c>
      <c r="E112" s="148" t="s">
        <v>441</v>
      </c>
      <c r="F112" s="148" t="s">
        <v>19</v>
      </c>
      <c r="G112" s="152" t="s">
        <v>101</v>
      </c>
      <c r="H112" s="153">
        <v>44261</v>
      </c>
      <c r="I112" s="153" t="s">
        <v>415</v>
      </c>
      <c r="J112" s="153" t="s">
        <v>401</v>
      </c>
      <c r="K112" s="158"/>
      <c r="L112" s="158" t="s">
        <v>584</v>
      </c>
      <c r="M112" s="132"/>
      <c r="N112" s="160"/>
      <c r="O112" s="159">
        <v>44354</v>
      </c>
      <c r="P112" s="160" t="s">
        <v>413</v>
      </c>
      <c r="Q112" s="160">
        <v>44397</v>
      </c>
      <c r="R112" s="159">
        <v>44364</v>
      </c>
      <c r="S112" s="160">
        <v>44364</v>
      </c>
      <c r="T112" s="159"/>
    </row>
    <row r="113" ht="58.5" customHeight="1" spans="1:20">
      <c r="A113" s="117"/>
      <c r="B113" s="117">
        <v>177251</v>
      </c>
      <c r="C113" s="117" t="str">
        <f>_xlfn.DISPIMG("ID_546D059BF6404B52B40699F61C0E370E",1)</f>
        <v>=DISPIMG("ID_546D059BF6404B52B40699F61C0E370E",1)</v>
      </c>
      <c r="D113" s="117" t="s">
        <v>20</v>
      </c>
      <c r="E113" s="117" t="s">
        <v>414</v>
      </c>
      <c r="F113" s="117" t="s">
        <v>54</v>
      </c>
      <c r="G113" s="117" t="s">
        <v>585</v>
      </c>
      <c r="H113" s="117"/>
      <c r="I113" s="117"/>
      <c r="J113" s="153" t="s">
        <v>400</v>
      </c>
      <c r="K113" s="168"/>
      <c r="L113" s="169" t="s">
        <v>586</v>
      </c>
      <c r="M113" s="170"/>
      <c r="N113" s="171"/>
      <c r="O113" s="171"/>
      <c r="P113" s="171"/>
      <c r="Q113" s="171"/>
      <c r="R113" s="171"/>
      <c r="S113" s="171"/>
      <c r="T113" s="170"/>
    </row>
    <row r="114" ht="38" customHeight="1" spans="1:20">
      <c r="A114" s="117"/>
      <c r="B114" s="117">
        <v>177253</v>
      </c>
      <c r="C114" s="117" t="str">
        <f>_xlfn.DISPIMG("ID_A3EAF52DF75245B4ABF70294D1675C78",1)</f>
        <v>=DISPIMG("ID_A3EAF52DF75245B4ABF70294D1675C78",1)</v>
      </c>
      <c r="D114" s="117" t="s">
        <v>20</v>
      </c>
      <c r="E114" s="117" t="s">
        <v>414</v>
      </c>
      <c r="F114" s="117" t="s">
        <v>54</v>
      </c>
      <c r="G114" s="148" t="s">
        <v>587</v>
      </c>
      <c r="H114" s="117"/>
      <c r="I114" s="117"/>
      <c r="J114" s="153" t="s">
        <v>400</v>
      </c>
      <c r="K114" s="168"/>
      <c r="L114" s="169" t="s">
        <v>588</v>
      </c>
      <c r="M114" s="170"/>
      <c r="N114" s="171"/>
      <c r="O114" s="171"/>
      <c r="P114" s="171"/>
      <c r="Q114" s="171"/>
      <c r="R114" s="171"/>
      <c r="S114" s="171"/>
      <c r="T114" s="170"/>
    </row>
    <row r="115" ht="38" customHeight="1" spans="1:20">
      <c r="A115" s="117"/>
      <c r="B115" s="117">
        <v>173620</v>
      </c>
      <c r="C115" s="117" t="str">
        <f>_xlfn.DISPIMG("ID_8C7A4FDAB6B14D53A417746CDC598545",1)</f>
        <v>=DISPIMG("ID_8C7A4FDAB6B14D53A417746CDC598545",1)</v>
      </c>
      <c r="D115" s="117" t="s">
        <v>20</v>
      </c>
      <c r="E115" s="117" t="s">
        <v>414</v>
      </c>
      <c r="F115" s="117" t="s">
        <v>54</v>
      </c>
      <c r="G115" s="117" t="s">
        <v>589</v>
      </c>
      <c r="H115" s="117"/>
      <c r="I115" s="117"/>
      <c r="J115" s="153" t="s">
        <v>400</v>
      </c>
      <c r="K115" s="168"/>
      <c r="L115" s="169" t="s">
        <v>588</v>
      </c>
      <c r="M115" s="170"/>
      <c r="N115" s="171"/>
      <c r="O115" s="171"/>
      <c r="P115" s="171"/>
      <c r="Q115" s="171"/>
      <c r="R115" s="171"/>
      <c r="S115" s="171"/>
      <c r="T115" s="170"/>
    </row>
    <row r="116" ht="32" customHeight="1" spans="12:12">
      <c r="L116" s="142"/>
    </row>
  </sheetData>
  <autoFilter ref="A4:U115">
    <filterColumn colId="5">
      <customFilters>
        <customFilter operator="equal" val="东睿"/>
      </customFilters>
    </filterColumn>
    <filterColumn colId="19">
      <filters blank="1"/>
    </filterColumn>
    <extLst/>
  </autoFilter>
  <mergeCells count="18">
    <mergeCell ref="A2:L2"/>
    <mergeCell ref="N3:O3"/>
    <mergeCell ref="P3:Q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R3:R4"/>
    <mergeCell ref="S3:S4"/>
    <mergeCell ref="T3:T4"/>
  </mergeCells>
  <dataValidations count="2">
    <dataValidation allowBlank="1" showInputMessage="1" showErrorMessage="1" sqref="L28 L35 L39 L42 L43 L47 K50 L50 L53 L56 L57 L58 L59 L60 L61 L75 L77 L92 L95 L99 L100 L101 L108 L109 L112 I5:I69 I70:I112 K5:K49 K51:K69 K70:K99 K101:K112 L5:L27 L29:L30 L32:L34 L36:L38 L40:L41 L44:L46 L48:L49 L51:L52 L54:L55 L62:L64 L65:L69 L71:L74 L79:L88 L104:L107"/>
    <dataValidation type="list" allowBlank="1" showInputMessage="1" showErrorMessage="1" sqref="J5:J69 J70:J115">
      <formula1>"NT退模,工厂发模,供应商开模"</formula1>
    </dataValidation>
  </dataValidations>
  <hyperlinks>
    <hyperlink ref="A1" location="目录!A1" display="返回"/>
  </hyperlinks>
  <pageMargins left="0.275590551181102" right="0.196850393700787" top="0.393700787401575" bottom="0.393700787401575" header="0.31496062992126" footer="0.31496062992126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76"/>
  <sheetViews>
    <sheetView workbookViewId="0">
      <pane xSplit="10" ySplit="4" topLeftCell="K5" activePane="bottomRight" state="frozen"/>
      <selection/>
      <selection pane="topRight"/>
      <selection pane="bottomLeft"/>
      <selection pane="bottomRight" activeCell="D45" sqref="D45:D52"/>
    </sheetView>
  </sheetViews>
  <sheetFormatPr defaultColWidth="9" defaultRowHeight="13.5"/>
  <cols>
    <col min="1" max="1" width="5.25" style="118" customWidth="1"/>
    <col min="2" max="2" width="6.75" style="118" customWidth="1"/>
    <col min="3" max="3" width="10.25" style="118" customWidth="1"/>
    <col min="4" max="4" width="16.125" style="118" customWidth="1"/>
    <col min="5" max="5" width="13.125" style="118" customWidth="1"/>
    <col min="6" max="8" width="9.125" style="118" customWidth="1"/>
    <col min="9" max="10" width="9" style="118"/>
    <col min="11" max="11" width="6.5" style="118" customWidth="1"/>
    <col min="12" max="22" width="5.375" style="118" customWidth="1"/>
    <col min="23" max="16384" width="9" style="118"/>
  </cols>
  <sheetData>
    <row r="1" spans="1:1">
      <c r="A1" s="6" t="s">
        <v>14</v>
      </c>
    </row>
    <row r="2" ht="23.45" customHeight="1" spans="1:22">
      <c r="A2" s="119" t="s">
        <v>590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ht="18" customHeight="1" spans="1:22">
      <c r="A3" s="121" t="s">
        <v>285</v>
      </c>
      <c r="B3" s="121" t="s">
        <v>292</v>
      </c>
      <c r="C3" s="121" t="s">
        <v>360</v>
      </c>
      <c r="D3" s="122" t="s">
        <v>177</v>
      </c>
      <c r="E3" s="122" t="s">
        <v>591</v>
      </c>
      <c r="F3" s="122" t="s">
        <v>592</v>
      </c>
      <c r="G3" s="122" t="s">
        <v>593</v>
      </c>
      <c r="H3" s="122" t="s">
        <v>594</v>
      </c>
      <c r="I3" s="122" t="s">
        <v>595</v>
      </c>
      <c r="J3" s="122" t="s">
        <v>395</v>
      </c>
      <c r="K3" s="124" t="s">
        <v>596</v>
      </c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</row>
    <row r="4" ht="18" customHeight="1" spans="1:22">
      <c r="A4" s="121"/>
      <c r="B4" s="121"/>
      <c r="C4" s="121"/>
      <c r="D4" s="123"/>
      <c r="E4" s="123"/>
      <c r="F4" s="123"/>
      <c r="G4" s="123"/>
      <c r="H4" s="123"/>
      <c r="I4" s="123"/>
      <c r="J4" s="123"/>
      <c r="K4" s="126">
        <v>44397</v>
      </c>
      <c r="L4" s="126">
        <v>44398</v>
      </c>
      <c r="M4" s="126">
        <v>44399</v>
      </c>
      <c r="N4" s="126">
        <v>44400</v>
      </c>
      <c r="O4" s="126">
        <v>44401</v>
      </c>
      <c r="P4" s="126">
        <v>44402</v>
      </c>
      <c r="Q4" s="126">
        <v>44403</v>
      </c>
      <c r="R4" s="126">
        <v>44404</v>
      </c>
      <c r="S4" s="126">
        <v>44405</v>
      </c>
      <c r="T4" s="126">
        <v>44406</v>
      </c>
      <c r="U4" s="126">
        <v>44407</v>
      </c>
      <c r="V4" s="126">
        <v>44408</v>
      </c>
    </row>
    <row r="5" ht="19.5" customHeight="1" spans="1:22">
      <c r="A5" s="124">
        <v>1</v>
      </c>
      <c r="B5" s="124" t="s">
        <v>26</v>
      </c>
      <c r="C5" s="124" t="s">
        <v>27</v>
      </c>
      <c r="D5" s="124" t="s">
        <v>76</v>
      </c>
      <c r="E5" s="124">
        <v>419</v>
      </c>
      <c r="F5" s="125" t="s">
        <v>60</v>
      </c>
      <c r="G5" s="125"/>
      <c r="H5" s="125"/>
      <c r="I5" s="124" t="s">
        <v>597</v>
      </c>
      <c r="J5" s="124" t="s">
        <v>598</v>
      </c>
      <c r="K5" s="128"/>
      <c r="L5" s="128"/>
      <c r="M5" s="128"/>
      <c r="N5" s="128"/>
      <c r="O5" s="128">
        <v>419</v>
      </c>
      <c r="P5" s="128"/>
      <c r="Q5" s="128"/>
      <c r="R5" s="128"/>
      <c r="S5" s="128"/>
      <c r="T5" s="128"/>
      <c r="U5" s="128"/>
      <c r="V5" s="128"/>
    </row>
    <row r="6" ht="19.5" customHeight="1" spans="1:22">
      <c r="A6" s="124"/>
      <c r="B6" s="124"/>
      <c r="C6" s="124"/>
      <c r="D6" s="124"/>
      <c r="E6" s="124"/>
      <c r="F6" s="126"/>
      <c r="G6" s="126"/>
      <c r="H6" s="126"/>
      <c r="I6" s="124"/>
      <c r="J6" s="124" t="s">
        <v>599</v>
      </c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</row>
    <row r="7" ht="19.5" customHeight="1" spans="1:22">
      <c r="A7" s="124"/>
      <c r="B7" s="124"/>
      <c r="C7" s="124"/>
      <c r="D7" s="124"/>
      <c r="E7" s="124"/>
      <c r="F7" s="126"/>
      <c r="G7" s="126"/>
      <c r="H7" s="126"/>
      <c r="I7" s="124" t="s">
        <v>600</v>
      </c>
      <c r="J7" s="124" t="s">
        <v>598</v>
      </c>
      <c r="K7" s="128"/>
      <c r="L7" s="128"/>
      <c r="M7" s="128"/>
      <c r="N7" s="128"/>
      <c r="O7" s="128"/>
      <c r="P7" s="128">
        <v>419</v>
      </c>
      <c r="Q7" s="128"/>
      <c r="R7" s="128"/>
      <c r="S7" s="128"/>
      <c r="T7" s="128"/>
      <c r="U7" s="128"/>
      <c r="V7" s="128"/>
    </row>
    <row r="8" ht="19.5" customHeight="1" spans="1:22">
      <c r="A8" s="124"/>
      <c r="B8" s="124"/>
      <c r="C8" s="124"/>
      <c r="D8" s="124"/>
      <c r="E8" s="124"/>
      <c r="F8" s="126"/>
      <c r="G8" s="126"/>
      <c r="H8" s="126"/>
      <c r="I8" s="124"/>
      <c r="J8" s="124" t="s">
        <v>599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</row>
    <row r="9" ht="19.5" customHeight="1" spans="1:22">
      <c r="A9" s="124"/>
      <c r="B9" s="124"/>
      <c r="C9" s="124"/>
      <c r="D9" s="124"/>
      <c r="E9" s="124"/>
      <c r="F9" s="126"/>
      <c r="G9" s="126"/>
      <c r="H9" s="126"/>
      <c r="I9" s="124" t="s">
        <v>601</v>
      </c>
      <c r="J9" s="124" t="s">
        <v>598</v>
      </c>
      <c r="K9" s="128"/>
      <c r="L9" s="128"/>
      <c r="M9" s="128"/>
      <c r="N9" s="128"/>
      <c r="O9" s="128"/>
      <c r="P9" s="128"/>
      <c r="Q9" s="128"/>
      <c r="R9" s="128">
        <v>419</v>
      </c>
      <c r="S9" s="128"/>
      <c r="T9" s="128"/>
      <c r="U9" s="128"/>
      <c r="V9" s="128"/>
    </row>
    <row r="10" ht="19.5" customHeight="1" spans="1:22">
      <c r="A10" s="124"/>
      <c r="B10" s="124"/>
      <c r="C10" s="124"/>
      <c r="D10" s="124"/>
      <c r="E10" s="124"/>
      <c r="F10" s="126"/>
      <c r="G10" s="126"/>
      <c r="H10" s="126"/>
      <c r="I10" s="124"/>
      <c r="J10" s="124" t="s">
        <v>599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</row>
    <row r="11" ht="19.5" customHeight="1" spans="1:22">
      <c r="A11" s="124"/>
      <c r="B11" s="124"/>
      <c r="C11" s="124"/>
      <c r="D11" s="124"/>
      <c r="E11" s="124"/>
      <c r="F11" s="126"/>
      <c r="G11" s="126"/>
      <c r="H11" s="126"/>
      <c r="I11" s="124" t="s">
        <v>602</v>
      </c>
      <c r="J11" s="124" t="s">
        <v>598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>
        <v>419</v>
      </c>
      <c r="V11" s="128"/>
    </row>
    <row r="12" ht="19.5" customHeight="1" spans="1:22">
      <c r="A12" s="124"/>
      <c r="B12" s="124"/>
      <c r="C12" s="124"/>
      <c r="D12" s="124"/>
      <c r="E12" s="124"/>
      <c r="F12" s="126"/>
      <c r="G12" s="126"/>
      <c r="H12" s="126"/>
      <c r="I12" s="124"/>
      <c r="J12" s="124" t="s">
        <v>599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ht="19.5" customHeight="1" spans="1:22">
      <c r="A13" s="124"/>
      <c r="B13" s="124"/>
      <c r="C13" s="124"/>
      <c r="D13" s="124" t="s">
        <v>77</v>
      </c>
      <c r="E13" s="124">
        <v>1437</v>
      </c>
      <c r="F13" s="127" t="s">
        <v>60</v>
      </c>
      <c r="G13" s="127"/>
      <c r="H13" s="127"/>
      <c r="I13" s="124" t="s">
        <v>597</v>
      </c>
      <c r="J13" s="124" t="s">
        <v>598</v>
      </c>
      <c r="K13" s="128"/>
      <c r="L13" s="128"/>
      <c r="M13" s="128"/>
      <c r="N13" s="128"/>
      <c r="O13" s="128">
        <v>1437</v>
      </c>
      <c r="P13" s="128"/>
      <c r="Q13" s="128"/>
      <c r="R13" s="128"/>
      <c r="S13" s="128"/>
      <c r="T13" s="128"/>
      <c r="U13" s="128"/>
      <c r="V13" s="128"/>
    </row>
    <row r="14" ht="19.5" customHeight="1" spans="1:22">
      <c r="A14" s="124"/>
      <c r="B14" s="124"/>
      <c r="C14" s="124"/>
      <c r="D14" s="124"/>
      <c r="E14" s="124"/>
      <c r="F14" s="124"/>
      <c r="G14" s="124"/>
      <c r="H14" s="124"/>
      <c r="I14" s="124"/>
      <c r="J14" s="124" t="s">
        <v>599</v>
      </c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ht="19.5" customHeight="1" spans="1:22">
      <c r="A15" s="124"/>
      <c r="B15" s="124"/>
      <c r="C15" s="124"/>
      <c r="D15" s="124"/>
      <c r="E15" s="124"/>
      <c r="F15" s="124"/>
      <c r="G15" s="124"/>
      <c r="H15" s="124"/>
      <c r="I15" s="124" t="s">
        <v>600</v>
      </c>
      <c r="J15" s="124" t="s">
        <v>598</v>
      </c>
      <c r="K15" s="128"/>
      <c r="L15" s="128"/>
      <c r="M15" s="128"/>
      <c r="N15" s="128"/>
      <c r="O15" s="128"/>
      <c r="P15" s="128">
        <v>1437</v>
      </c>
      <c r="Q15" s="128"/>
      <c r="R15" s="128"/>
      <c r="S15" s="128"/>
      <c r="T15" s="128"/>
      <c r="U15" s="128"/>
      <c r="V15" s="128"/>
    </row>
    <row r="16" ht="19.5" customHeight="1" spans="1:22">
      <c r="A16" s="124"/>
      <c r="B16" s="124"/>
      <c r="C16" s="124"/>
      <c r="D16" s="124"/>
      <c r="E16" s="124"/>
      <c r="F16" s="124"/>
      <c r="G16" s="124"/>
      <c r="H16" s="124"/>
      <c r="I16" s="124"/>
      <c r="J16" s="124" t="s">
        <v>599</v>
      </c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ht="19.5" customHeight="1" spans="1:22">
      <c r="A17" s="124"/>
      <c r="B17" s="124"/>
      <c r="C17" s="124"/>
      <c r="D17" s="124"/>
      <c r="E17" s="124"/>
      <c r="F17" s="124"/>
      <c r="G17" s="124"/>
      <c r="H17" s="124"/>
      <c r="I17" s="124" t="s">
        <v>601</v>
      </c>
      <c r="J17" s="124" t="s">
        <v>598</v>
      </c>
      <c r="K17" s="128"/>
      <c r="L17" s="128"/>
      <c r="M17" s="128"/>
      <c r="N17" s="128"/>
      <c r="O17" s="128"/>
      <c r="P17" s="128"/>
      <c r="Q17" s="128">
        <v>500</v>
      </c>
      <c r="R17" s="128">
        <v>500</v>
      </c>
      <c r="S17" s="128">
        <v>437</v>
      </c>
      <c r="T17" s="128"/>
      <c r="U17" s="128"/>
      <c r="V17" s="128"/>
    </row>
    <row r="18" ht="19.5" customHeight="1" spans="1:22">
      <c r="A18" s="124"/>
      <c r="B18" s="124"/>
      <c r="C18" s="124"/>
      <c r="D18" s="124"/>
      <c r="E18" s="124"/>
      <c r="F18" s="124"/>
      <c r="G18" s="124"/>
      <c r="H18" s="124"/>
      <c r="I18" s="124"/>
      <c r="J18" s="124" t="s">
        <v>599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ht="19.5" customHeight="1" spans="1:22">
      <c r="A19" s="124"/>
      <c r="B19" s="124"/>
      <c r="C19" s="124"/>
      <c r="D19" s="124"/>
      <c r="E19" s="124"/>
      <c r="F19" s="124"/>
      <c r="G19" s="124"/>
      <c r="H19" s="124"/>
      <c r="I19" s="124" t="s">
        <v>602</v>
      </c>
      <c r="J19" s="124" t="s">
        <v>598</v>
      </c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>
        <v>1437</v>
      </c>
      <c r="V19" s="128"/>
    </row>
    <row r="20" ht="19.5" customHeight="1" spans="1:22">
      <c r="A20" s="124"/>
      <c r="B20" s="124"/>
      <c r="C20" s="124"/>
      <c r="D20" s="124"/>
      <c r="E20" s="124"/>
      <c r="F20" s="124"/>
      <c r="G20" s="124"/>
      <c r="H20" s="124"/>
      <c r="I20" s="124"/>
      <c r="J20" s="124" t="s">
        <v>599</v>
      </c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ht="19.5" customHeight="1" spans="1:22">
      <c r="A21" s="124"/>
      <c r="B21" s="124"/>
      <c r="C21" s="124"/>
      <c r="D21" s="124" t="s">
        <v>603</v>
      </c>
      <c r="E21" s="124">
        <v>7222</v>
      </c>
      <c r="F21" s="127" t="s">
        <v>60</v>
      </c>
      <c r="G21" s="127"/>
      <c r="H21" s="127"/>
      <c r="I21" s="124" t="s">
        <v>597</v>
      </c>
      <c r="J21" s="124" t="s">
        <v>598</v>
      </c>
      <c r="K21" s="128"/>
      <c r="L21" s="128"/>
      <c r="M21" s="128"/>
      <c r="N21" s="128">
        <v>6000</v>
      </c>
      <c r="O21" s="128">
        <v>1222</v>
      </c>
      <c r="P21" s="128"/>
      <c r="Q21" s="128"/>
      <c r="R21" s="128"/>
      <c r="S21" s="128"/>
      <c r="T21" s="128"/>
      <c r="U21" s="128"/>
      <c r="V21" s="128"/>
    </row>
    <row r="22" ht="19.5" customHeight="1" spans="1:22">
      <c r="A22" s="124"/>
      <c r="B22" s="124"/>
      <c r="C22" s="124"/>
      <c r="D22" s="124"/>
      <c r="E22" s="124"/>
      <c r="F22" s="124"/>
      <c r="G22" s="124"/>
      <c r="H22" s="124"/>
      <c r="I22" s="124"/>
      <c r="J22" s="124" t="s">
        <v>599</v>
      </c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ht="19.5" customHeight="1" spans="1:22">
      <c r="A23" s="124"/>
      <c r="B23" s="124"/>
      <c r="C23" s="124"/>
      <c r="D23" s="124"/>
      <c r="E23" s="124"/>
      <c r="F23" s="124"/>
      <c r="G23" s="124"/>
      <c r="H23" s="124"/>
      <c r="I23" s="124" t="s">
        <v>600</v>
      </c>
      <c r="J23" s="124" t="s">
        <v>598</v>
      </c>
      <c r="K23" s="128"/>
      <c r="L23" s="128"/>
      <c r="M23" s="128"/>
      <c r="N23" s="128"/>
      <c r="O23" s="128"/>
      <c r="P23" s="128">
        <v>3000</v>
      </c>
      <c r="Q23" s="128">
        <v>3000</v>
      </c>
      <c r="R23" s="128">
        <v>1222</v>
      </c>
      <c r="S23" s="128"/>
      <c r="T23" s="128"/>
      <c r="U23" s="128"/>
      <c r="V23" s="128"/>
    </row>
    <row r="24" ht="19.5" customHeight="1" spans="1:22">
      <c r="A24" s="124"/>
      <c r="B24" s="124"/>
      <c r="C24" s="124"/>
      <c r="D24" s="124"/>
      <c r="E24" s="124"/>
      <c r="F24" s="124"/>
      <c r="G24" s="124"/>
      <c r="H24" s="124"/>
      <c r="I24" s="124"/>
      <c r="J24" s="124" t="s">
        <v>599</v>
      </c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ht="19.5" customHeight="1" spans="1:22">
      <c r="A25" s="124"/>
      <c r="B25" s="124"/>
      <c r="C25" s="124"/>
      <c r="D25" s="124"/>
      <c r="E25" s="124"/>
      <c r="F25" s="124"/>
      <c r="G25" s="124"/>
      <c r="H25" s="124"/>
      <c r="I25" s="124" t="s">
        <v>601</v>
      </c>
      <c r="J25" s="124" t="s">
        <v>598</v>
      </c>
      <c r="K25" s="128"/>
      <c r="L25" s="128"/>
      <c r="M25" s="128"/>
      <c r="N25" s="128"/>
      <c r="O25" s="128"/>
      <c r="P25" s="128"/>
      <c r="Q25" s="128"/>
      <c r="R25" s="128">
        <v>3000</v>
      </c>
      <c r="S25" s="128">
        <v>3000</v>
      </c>
      <c r="T25" s="128">
        <v>1222</v>
      </c>
      <c r="U25" s="128"/>
      <c r="V25" s="128"/>
    </row>
    <row r="26" ht="19.5" customHeight="1" spans="1:22">
      <c r="A26" s="124"/>
      <c r="B26" s="124"/>
      <c r="C26" s="124"/>
      <c r="D26" s="124"/>
      <c r="E26" s="124"/>
      <c r="F26" s="124"/>
      <c r="G26" s="124"/>
      <c r="H26" s="124"/>
      <c r="I26" s="124"/>
      <c r="J26" s="124" t="s">
        <v>599</v>
      </c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ht="19.5" customHeight="1" spans="1:22">
      <c r="A27" s="124"/>
      <c r="B27" s="124"/>
      <c r="C27" s="124"/>
      <c r="D27" s="124"/>
      <c r="E27" s="124"/>
      <c r="F27" s="124"/>
      <c r="G27" s="124"/>
      <c r="H27" s="124"/>
      <c r="I27" s="124" t="s">
        <v>602</v>
      </c>
      <c r="J27" s="124" t="s">
        <v>598</v>
      </c>
      <c r="K27" s="128"/>
      <c r="L27" s="128"/>
      <c r="M27" s="128"/>
      <c r="N27" s="128"/>
      <c r="O27" s="128"/>
      <c r="P27" s="128"/>
      <c r="Q27" s="128"/>
      <c r="R27" s="128"/>
      <c r="S27" s="128"/>
      <c r="T27" s="128">
        <v>3000</v>
      </c>
      <c r="U27" s="128">
        <v>3000</v>
      </c>
      <c r="V27" s="128">
        <v>1222</v>
      </c>
    </row>
    <row r="28" ht="19.5" customHeight="1" spans="1:22">
      <c r="A28" s="124"/>
      <c r="B28" s="124"/>
      <c r="C28" s="124"/>
      <c r="D28" s="124"/>
      <c r="E28" s="124"/>
      <c r="F28" s="124"/>
      <c r="G28" s="124"/>
      <c r="H28" s="124"/>
      <c r="I28" s="124"/>
      <c r="J28" s="124" t="s">
        <v>599</v>
      </c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ht="19.5" customHeight="1" spans="1:22">
      <c r="A29" s="124"/>
      <c r="B29" s="124"/>
      <c r="C29" s="124"/>
      <c r="D29" s="124" t="s">
        <v>604</v>
      </c>
      <c r="E29" s="124">
        <v>10184</v>
      </c>
      <c r="F29" s="127" t="s">
        <v>60</v>
      </c>
      <c r="G29" s="127"/>
      <c r="H29" s="127"/>
      <c r="I29" s="124" t="s">
        <v>597</v>
      </c>
      <c r="J29" s="124" t="s">
        <v>598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ht="19.5" customHeight="1" spans="1:22">
      <c r="A30" s="124"/>
      <c r="B30" s="124"/>
      <c r="C30" s="124"/>
      <c r="D30" s="124"/>
      <c r="E30" s="124"/>
      <c r="F30" s="124"/>
      <c r="G30" s="124"/>
      <c r="H30" s="124"/>
      <c r="I30" s="124"/>
      <c r="J30" s="124" t="s">
        <v>599</v>
      </c>
      <c r="K30" s="128" t="s">
        <v>605</v>
      </c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ht="19.5" customHeight="1" spans="1:22">
      <c r="A31" s="124"/>
      <c r="B31" s="124"/>
      <c r="C31" s="124"/>
      <c r="D31" s="124"/>
      <c r="E31" s="124"/>
      <c r="F31" s="124"/>
      <c r="G31" s="124"/>
      <c r="H31" s="124"/>
      <c r="I31" s="124" t="s">
        <v>600</v>
      </c>
      <c r="J31" s="124" t="s">
        <v>598</v>
      </c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ht="19.5" customHeight="1" spans="1:22">
      <c r="A32" s="124"/>
      <c r="B32" s="124"/>
      <c r="C32" s="124"/>
      <c r="D32" s="124"/>
      <c r="E32" s="124"/>
      <c r="F32" s="124"/>
      <c r="G32" s="124"/>
      <c r="H32" s="124"/>
      <c r="I32" s="124"/>
      <c r="J32" s="124" t="s">
        <v>599</v>
      </c>
      <c r="K32" s="128" t="s">
        <v>605</v>
      </c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ht="19.5" customHeight="1" spans="1:22">
      <c r="A33" s="124"/>
      <c r="B33" s="124"/>
      <c r="C33" s="124"/>
      <c r="D33" s="124"/>
      <c r="E33" s="124"/>
      <c r="F33" s="124"/>
      <c r="G33" s="124"/>
      <c r="H33" s="124"/>
      <c r="I33" s="124" t="s">
        <v>601</v>
      </c>
      <c r="J33" s="124" t="s">
        <v>598</v>
      </c>
      <c r="K33" s="128"/>
      <c r="L33" s="128"/>
      <c r="M33" s="128">
        <v>1500</v>
      </c>
      <c r="N33" s="128">
        <v>1500</v>
      </c>
      <c r="O33" s="128">
        <v>1500</v>
      </c>
      <c r="P33" s="128">
        <v>1500</v>
      </c>
      <c r="Q33" s="128">
        <v>684</v>
      </c>
      <c r="R33" s="128"/>
      <c r="S33" s="128"/>
      <c r="T33" s="128"/>
      <c r="U33" s="128"/>
      <c r="V33" s="128"/>
    </row>
    <row r="34" ht="19.5" customHeight="1" spans="1:22">
      <c r="A34" s="124"/>
      <c r="B34" s="124"/>
      <c r="C34" s="124"/>
      <c r="D34" s="124"/>
      <c r="E34" s="124"/>
      <c r="F34" s="124"/>
      <c r="G34" s="124"/>
      <c r="H34" s="124"/>
      <c r="I34" s="124"/>
      <c r="J34" s="124" t="s">
        <v>599</v>
      </c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ht="19.5" customHeight="1" spans="1:22">
      <c r="A35" s="124"/>
      <c r="B35" s="124"/>
      <c r="C35" s="124"/>
      <c r="D35" s="124"/>
      <c r="E35" s="124"/>
      <c r="F35" s="124"/>
      <c r="G35" s="124"/>
      <c r="H35" s="124"/>
      <c r="I35" s="124" t="s">
        <v>602</v>
      </c>
      <c r="J35" s="124" t="s">
        <v>598</v>
      </c>
      <c r="K35" s="128"/>
      <c r="L35" s="128"/>
      <c r="M35" s="128"/>
      <c r="N35" s="128"/>
      <c r="O35" s="128">
        <v>1500</v>
      </c>
      <c r="P35" s="128">
        <v>1500</v>
      </c>
      <c r="Q35" s="128">
        <v>1500</v>
      </c>
      <c r="R35" s="128">
        <v>2184</v>
      </c>
      <c r="S35" s="128"/>
      <c r="T35" s="128"/>
      <c r="U35" s="128"/>
      <c r="V35" s="128"/>
    </row>
    <row r="36" ht="19.5" customHeight="1" spans="1:22">
      <c r="A36" s="124"/>
      <c r="B36" s="124"/>
      <c r="C36" s="124"/>
      <c r="D36" s="124"/>
      <c r="E36" s="124"/>
      <c r="F36" s="124"/>
      <c r="G36" s="124"/>
      <c r="H36" s="124"/>
      <c r="I36" s="124"/>
      <c r="J36" s="124" t="s">
        <v>599</v>
      </c>
      <c r="K36" s="128">
        <v>3500</v>
      </c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</row>
    <row r="37" ht="19.5" customHeight="1" spans="1:22">
      <c r="A37" s="124"/>
      <c r="B37" s="124"/>
      <c r="C37" s="124"/>
      <c r="D37" s="124" t="s">
        <v>83</v>
      </c>
      <c r="E37" s="124">
        <v>7832</v>
      </c>
      <c r="F37" s="127" t="s">
        <v>60</v>
      </c>
      <c r="G37" s="127"/>
      <c r="H37" s="127"/>
      <c r="I37" s="124" t="s">
        <v>597</v>
      </c>
      <c r="J37" s="124" t="s">
        <v>598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>
        <v>3832</v>
      </c>
      <c r="U37" s="128"/>
      <c r="V37" s="128"/>
    </row>
    <row r="38" ht="19.5" customHeight="1" spans="1:22">
      <c r="A38" s="124"/>
      <c r="B38" s="124"/>
      <c r="C38" s="124"/>
      <c r="D38" s="124"/>
      <c r="E38" s="124"/>
      <c r="F38" s="124"/>
      <c r="G38" s="124"/>
      <c r="H38" s="124"/>
      <c r="I38" s="124"/>
      <c r="J38" s="124" t="s">
        <v>599</v>
      </c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</row>
    <row r="39" ht="19.5" customHeight="1" spans="1:22">
      <c r="A39" s="124"/>
      <c r="B39" s="124"/>
      <c r="C39" s="124"/>
      <c r="D39" s="124"/>
      <c r="E39" s="124"/>
      <c r="F39" s="124"/>
      <c r="G39" s="124"/>
      <c r="H39" s="124"/>
      <c r="I39" s="124" t="s">
        <v>600</v>
      </c>
      <c r="J39" s="124" t="s">
        <v>598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>
        <v>3832</v>
      </c>
      <c r="V39" s="128"/>
    </row>
    <row r="40" ht="19.5" customHeight="1" spans="1:22">
      <c r="A40" s="124"/>
      <c r="B40" s="124"/>
      <c r="C40" s="124"/>
      <c r="D40" s="124"/>
      <c r="E40" s="124"/>
      <c r="F40" s="124"/>
      <c r="G40" s="124"/>
      <c r="H40" s="124"/>
      <c r="I40" s="124"/>
      <c r="J40" s="124" t="s">
        <v>599</v>
      </c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</row>
    <row r="41" ht="19.5" customHeight="1" spans="1:22">
      <c r="A41" s="124"/>
      <c r="B41" s="124"/>
      <c r="C41" s="124"/>
      <c r="D41" s="124"/>
      <c r="E41" s="124"/>
      <c r="F41" s="124"/>
      <c r="G41" s="124"/>
      <c r="H41" s="124"/>
      <c r="I41" s="124" t="s">
        <v>601</v>
      </c>
      <c r="J41" s="124" t="s">
        <v>598</v>
      </c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</row>
    <row r="42" ht="19.5" customHeight="1" spans="1:22">
      <c r="A42" s="124"/>
      <c r="B42" s="124"/>
      <c r="C42" s="124"/>
      <c r="D42" s="124"/>
      <c r="E42" s="124"/>
      <c r="F42" s="124"/>
      <c r="G42" s="124"/>
      <c r="H42" s="124"/>
      <c r="I42" s="124"/>
      <c r="J42" s="124" t="s">
        <v>599</v>
      </c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</row>
    <row r="43" ht="19.5" customHeight="1" spans="1:22">
      <c r="A43" s="124"/>
      <c r="B43" s="124"/>
      <c r="C43" s="124"/>
      <c r="D43" s="124"/>
      <c r="E43" s="124"/>
      <c r="F43" s="124"/>
      <c r="G43" s="124"/>
      <c r="H43" s="124"/>
      <c r="I43" s="124" t="s">
        <v>602</v>
      </c>
      <c r="J43" s="124" t="s">
        <v>598</v>
      </c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</row>
    <row r="44" ht="19.5" customHeight="1" spans="1:22">
      <c r="A44" s="124"/>
      <c r="B44" s="124"/>
      <c r="C44" s="124"/>
      <c r="D44" s="124"/>
      <c r="E44" s="124"/>
      <c r="F44" s="124"/>
      <c r="G44" s="124"/>
      <c r="H44" s="124"/>
      <c r="I44" s="124"/>
      <c r="J44" s="124" t="s">
        <v>599</v>
      </c>
      <c r="K44" s="128">
        <v>4000</v>
      </c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</row>
    <row r="45" ht="19.5" customHeight="1" spans="1:22">
      <c r="A45" s="124"/>
      <c r="B45" s="124"/>
      <c r="C45" s="124"/>
      <c r="D45" s="124" t="s">
        <v>85</v>
      </c>
      <c r="E45" s="124">
        <v>5741</v>
      </c>
      <c r="F45" s="127" t="s">
        <v>60</v>
      </c>
      <c r="G45" s="127"/>
      <c r="H45" s="127"/>
      <c r="I45" s="124" t="s">
        <v>597</v>
      </c>
      <c r="J45" s="124" t="s">
        <v>598</v>
      </c>
      <c r="K45" s="128">
        <v>5741</v>
      </c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</row>
    <row r="46" ht="19.5" customHeight="1" spans="1:22">
      <c r="A46" s="124"/>
      <c r="B46" s="124"/>
      <c r="C46" s="124"/>
      <c r="D46" s="124"/>
      <c r="E46" s="124"/>
      <c r="F46" s="124"/>
      <c r="G46" s="124"/>
      <c r="H46" s="124"/>
      <c r="I46" s="124"/>
      <c r="J46" s="124" t="s">
        <v>599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</row>
    <row r="47" ht="19.5" customHeight="1" spans="1:22">
      <c r="A47" s="124"/>
      <c r="B47" s="124"/>
      <c r="C47" s="124"/>
      <c r="D47" s="124"/>
      <c r="E47" s="124"/>
      <c r="F47" s="124"/>
      <c r="G47" s="124"/>
      <c r="H47" s="124"/>
      <c r="I47" s="124" t="s">
        <v>600</v>
      </c>
      <c r="J47" s="124" t="s">
        <v>598</v>
      </c>
      <c r="K47" s="128"/>
      <c r="L47" s="128">
        <v>3000</v>
      </c>
      <c r="M47" s="128">
        <v>2741</v>
      </c>
      <c r="N47" s="128"/>
      <c r="O47" s="128"/>
      <c r="P47" s="128"/>
      <c r="Q47" s="128"/>
      <c r="R47" s="128"/>
      <c r="S47" s="128"/>
      <c r="T47" s="128"/>
      <c r="U47" s="128"/>
      <c r="V47" s="128"/>
    </row>
    <row r="48" ht="19.5" customHeight="1" spans="1:22">
      <c r="A48" s="124"/>
      <c r="B48" s="124"/>
      <c r="C48" s="124"/>
      <c r="D48" s="124"/>
      <c r="E48" s="124"/>
      <c r="F48" s="124"/>
      <c r="G48" s="124"/>
      <c r="H48" s="124"/>
      <c r="I48" s="124"/>
      <c r="J48" s="124" t="s">
        <v>599</v>
      </c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</row>
    <row r="49" ht="19.5" customHeight="1" spans="1:22">
      <c r="A49" s="124"/>
      <c r="B49" s="124"/>
      <c r="C49" s="124"/>
      <c r="D49" s="124"/>
      <c r="E49" s="124"/>
      <c r="F49" s="124"/>
      <c r="G49" s="124"/>
      <c r="H49" s="124"/>
      <c r="I49" s="124" t="s">
        <v>601</v>
      </c>
      <c r="J49" s="124" t="s">
        <v>598</v>
      </c>
      <c r="K49" s="128"/>
      <c r="L49" s="128"/>
      <c r="M49" s="128">
        <v>1500</v>
      </c>
      <c r="N49" s="128">
        <v>1500</v>
      </c>
      <c r="O49" s="128">
        <v>1500</v>
      </c>
      <c r="P49" s="128">
        <v>1241</v>
      </c>
      <c r="Q49" s="128"/>
      <c r="R49" s="128"/>
      <c r="S49" s="128"/>
      <c r="T49" s="128"/>
      <c r="U49" s="128"/>
      <c r="V49" s="128"/>
    </row>
    <row r="50" ht="19.5" customHeight="1" spans="1:22">
      <c r="A50" s="124"/>
      <c r="B50" s="124"/>
      <c r="C50" s="124"/>
      <c r="D50" s="124"/>
      <c r="E50" s="124"/>
      <c r="F50" s="124"/>
      <c r="G50" s="124"/>
      <c r="H50" s="124"/>
      <c r="I50" s="124"/>
      <c r="J50" s="124" t="s">
        <v>599</v>
      </c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</row>
    <row r="51" ht="19.5" customHeight="1" spans="1:22">
      <c r="A51" s="124"/>
      <c r="B51" s="124"/>
      <c r="C51" s="124"/>
      <c r="D51" s="124"/>
      <c r="E51" s="124"/>
      <c r="F51" s="124"/>
      <c r="G51" s="124"/>
      <c r="H51" s="124"/>
      <c r="I51" s="124" t="s">
        <v>602</v>
      </c>
      <c r="J51" s="124" t="s">
        <v>598</v>
      </c>
      <c r="K51" s="128"/>
      <c r="L51" s="128"/>
      <c r="M51" s="128"/>
      <c r="N51" s="128"/>
      <c r="O51" s="128">
        <v>1500</v>
      </c>
      <c r="P51" s="128">
        <v>1500</v>
      </c>
      <c r="Q51" s="128">
        <v>1500</v>
      </c>
      <c r="R51" s="128">
        <v>1241</v>
      </c>
      <c r="S51" s="128"/>
      <c r="T51" s="128"/>
      <c r="U51" s="128"/>
      <c r="V51" s="128"/>
    </row>
    <row r="52" ht="19.5" customHeight="1" spans="1:22">
      <c r="A52" s="124"/>
      <c r="B52" s="124"/>
      <c r="C52" s="124"/>
      <c r="D52" s="124"/>
      <c r="E52" s="124"/>
      <c r="F52" s="124"/>
      <c r="G52" s="124"/>
      <c r="H52" s="124"/>
      <c r="I52" s="124"/>
      <c r="J52" s="124" t="s">
        <v>599</v>
      </c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</row>
    <row r="53" ht="19.5" customHeight="1" spans="1:22">
      <c r="A53" s="124"/>
      <c r="B53" s="124"/>
      <c r="C53" s="124"/>
      <c r="D53" s="124" t="s">
        <v>84</v>
      </c>
      <c r="E53" s="124">
        <v>21</v>
      </c>
      <c r="F53" s="125" t="s">
        <v>60</v>
      </c>
      <c r="G53" s="125"/>
      <c r="H53" s="125"/>
      <c r="I53" s="124" t="s">
        <v>597</v>
      </c>
      <c r="J53" s="124" t="s">
        <v>598</v>
      </c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>
        <v>21</v>
      </c>
      <c r="V53" s="128"/>
    </row>
    <row r="54" ht="19.5" customHeight="1" spans="1:22">
      <c r="A54" s="124"/>
      <c r="B54" s="124"/>
      <c r="C54" s="124"/>
      <c r="D54" s="124"/>
      <c r="E54" s="124"/>
      <c r="F54" s="126"/>
      <c r="G54" s="126"/>
      <c r="H54" s="126"/>
      <c r="I54" s="124"/>
      <c r="J54" s="124" t="s">
        <v>599</v>
      </c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>
        <v>96</v>
      </c>
      <c r="V54" s="128"/>
    </row>
    <row r="55" ht="19.5" customHeight="1" spans="1:22">
      <c r="A55" s="124"/>
      <c r="B55" s="124"/>
      <c r="C55" s="124"/>
      <c r="D55" s="124"/>
      <c r="E55" s="124"/>
      <c r="F55" s="126"/>
      <c r="G55" s="126"/>
      <c r="H55" s="126"/>
      <c r="I55" s="124" t="s">
        <v>600</v>
      </c>
      <c r="J55" s="124" t="s">
        <v>598</v>
      </c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>
        <v>21</v>
      </c>
    </row>
    <row r="56" ht="19.5" customHeight="1" spans="1:22">
      <c r="A56" s="124"/>
      <c r="B56" s="124"/>
      <c r="C56" s="124"/>
      <c r="D56" s="124"/>
      <c r="E56" s="124"/>
      <c r="F56" s="126"/>
      <c r="G56" s="126"/>
      <c r="H56" s="126"/>
      <c r="I56" s="124"/>
      <c r="J56" s="124" t="s">
        <v>599</v>
      </c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</row>
    <row r="57" ht="19.5" customHeight="1" spans="1:22">
      <c r="A57" s="124"/>
      <c r="B57" s="124"/>
      <c r="C57" s="124"/>
      <c r="D57" s="124"/>
      <c r="E57" s="124"/>
      <c r="F57" s="126"/>
      <c r="G57" s="126"/>
      <c r="H57" s="126"/>
      <c r="I57" s="124" t="s">
        <v>601</v>
      </c>
      <c r="J57" s="124" t="s">
        <v>598</v>
      </c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</row>
    <row r="58" ht="19.5" customHeight="1" spans="1:22">
      <c r="A58" s="124"/>
      <c r="B58" s="124"/>
      <c r="C58" s="124"/>
      <c r="D58" s="124"/>
      <c r="E58" s="124"/>
      <c r="F58" s="126"/>
      <c r="G58" s="126"/>
      <c r="H58" s="126"/>
      <c r="I58" s="124"/>
      <c r="J58" s="124" t="s">
        <v>599</v>
      </c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</row>
    <row r="59" ht="19.5" customHeight="1" spans="1:22">
      <c r="A59" s="124"/>
      <c r="B59" s="124"/>
      <c r="C59" s="124"/>
      <c r="D59" s="124"/>
      <c r="E59" s="124"/>
      <c r="F59" s="126"/>
      <c r="G59" s="126"/>
      <c r="H59" s="126"/>
      <c r="I59" s="124" t="s">
        <v>602</v>
      </c>
      <c r="J59" s="124" t="s">
        <v>598</v>
      </c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</row>
    <row r="60" ht="19.5" customHeight="1" spans="1:22">
      <c r="A60" s="124"/>
      <c r="B60" s="124"/>
      <c r="C60" s="124"/>
      <c r="D60" s="124"/>
      <c r="E60" s="124"/>
      <c r="F60" s="126"/>
      <c r="G60" s="126"/>
      <c r="H60" s="126"/>
      <c r="I60" s="124"/>
      <c r="J60" s="124" t="s">
        <v>599</v>
      </c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</row>
    <row r="61" ht="19.5" customHeight="1" spans="1:22">
      <c r="A61" s="124"/>
      <c r="B61" s="124"/>
      <c r="C61" s="124"/>
      <c r="D61" s="124" t="s">
        <v>86</v>
      </c>
      <c r="E61" s="124">
        <v>96</v>
      </c>
      <c r="F61" s="125" t="s">
        <v>60</v>
      </c>
      <c r="G61" s="125"/>
      <c r="H61" s="125"/>
      <c r="I61" s="124" t="s">
        <v>597</v>
      </c>
      <c r="J61" s="124" t="s">
        <v>598</v>
      </c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>
        <v>96</v>
      </c>
      <c r="V61" s="128"/>
    </row>
    <row r="62" ht="19.5" customHeight="1" spans="1:22">
      <c r="A62" s="124"/>
      <c r="B62" s="124"/>
      <c r="C62" s="124"/>
      <c r="D62" s="124"/>
      <c r="E62" s="124"/>
      <c r="F62" s="126"/>
      <c r="G62" s="126"/>
      <c r="H62" s="126"/>
      <c r="I62" s="124"/>
      <c r="J62" s="124" t="s">
        <v>599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</row>
    <row r="63" ht="19.5" customHeight="1" spans="1:22">
      <c r="A63" s="124"/>
      <c r="B63" s="124"/>
      <c r="C63" s="124"/>
      <c r="D63" s="124"/>
      <c r="E63" s="124"/>
      <c r="F63" s="126"/>
      <c r="G63" s="126"/>
      <c r="H63" s="126"/>
      <c r="I63" s="124" t="s">
        <v>600</v>
      </c>
      <c r="J63" s="124" t="s">
        <v>598</v>
      </c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>
        <v>96</v>
      </c>
    </row>
    <row r="64" ht="19.5" customHeight="1" spans="1:22">
      <c r="A64" s="124"/>
      <c r="B64" s="124"/>
      <c r="C64" s="124"/>
      <c r="D64" s="124"/>
      <c r="E64" s="124"/>
      <c r="F64" s="126"/>
      <c r="G64" s="126"/>
      <c r="H64" s="126"/>
      <c r="I64" s="124"/>
      <c r="J64" s="124" t="s">
        <v>599</v>
      </c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</row>
    <row r="65" ht="19.5" customHeight="1" spans="1:22">
      <c r="A65" s="124"/>
      <c r="B65" s="124"/>
      <c r="C65" s="124"/>
      <c r="D65" s="124"/>
      <c r="E65" s="124"/>
      <c r="F65" s="126"/>
      <c r="G65" s="126"/>
      <c r="H65" s="126"/>
      <c r="I65" s="124" t="s">
        <v>601</v>
      </c>
      <c r="J65" s="124" t="s">
        <v>598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</row>
    <row r="66" ht="19.5" customHeight="1" spans="1:22">
      <c r="A66" s="124"/>
      <c r="B66" s="124"/>
      <c r="C66" s="124"/>
      <c r="D66" s="124"/>
      <c r="E66" s="124"/>
      <c r="F66" s="126"/>
      <c r="G66" s="126"/>
      <c r="H66" s="126"/>
      <c r="I66" s="124"/>
      <c r="J66" s="124" t="s">
        <v>599</v>
      </c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</row>
    <row r="67" ht="19.5" customHeight="1" spans="1:22">
      <c r="A67" s="124"/>
      <c r="B67" s="124"/>
      <c r="C67" s="124"/>
      <c r="D67" s="124"/>
      <c r="E67" s="124"/>
      <c r="F67" s="126"/>
      <c r="G67" s="126"/>
      <c r="H67" s="126"/>
      <c r="I67" s="124" t="s">
        <v>602</v>
      </c>
      <c r="J67" s="124" t="s">
        <v>598</v>
      </c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</row>
    <row r="68" ht="19.5" customHeight="1" spans="1:22">
      <c r="A68" s="124"/>
      <c r="B68" s="124"/>
      <c r="C68" s="124"/>
      <c r="D68" s="124"/>
      <c r="E68" s="124"/>
      <c r="F68" s="126"/>
      <c r="G68" s="126"/>
      <c r="H68" s="126"/>
      <c r="I68" s="124"/>
      <c r="J68" s="124" t="s">
        <v>599</v>
      </c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</row>
    <row r="69" ht="19.5" customHeight="1" spans="1:22">
      <c r="A69" s="124"/>
      <c r="B69" s="124"/>
      <c r="C69" s="124"/>
      <c r="D69" s="124" t="s">
        <v>284</v>
      </c>
      <c r="E69" s="124">
        <v>8700</v>
      </c>
      <c r="F69" s="125" t="s">
        <v>60</v>
      </c>
      <c r="G69" s="125"/>
      <c r="H69" s="125"/>
      <c r="I69" s="124" t="s">
        <v>597</v>
      </c>
      <c r="J69" s="124" t="s">
        <v>598</v>
      </c>
      <c r="K69" s="128"/>
      <c r="L69" s="128"/>
      <c r="M69" s="128"/>
      <c r="N69" s="128"/>
      <c r="O69" s="128"/>
      <c r="P69" s="128"/>
      <c r="Q69" s="128"/>
      <c r="R69" s="128">
        <v>3000</v>
      </c>
      <c r="S69" s="128">
        <v>3300</v>
      </c>
      <c r="T69" s="128"/>
      <c r="U69" s="128"/>
      <c r="V69" s="128"/>
    </row>
    <row r="70" ht="19.5" customHeight="1" spans="1:22">
      <c r="A70" s="124"/>
      <c r="B70" s="124"/>
      <c r="C70" s="124"/>
      <c r="D70" s="124"/>
      <c r="E70" s="124"/>
      <c r="F70" s="126"/>
      <c r="G70" s="126"/>
      <c r="H70" s="126"/>
      <c r="I70" s="124"/>
      <c r="J70" s="124" t="s">
        <v>599</v>
      </c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</row>
    <row r="71" ht="19.5" customHeight="1" spans="1:22">
      <c r="A71" s="124"/>
      <c r="B71" s="124"/>
      <c r="C71" s="124"/>
      <c r="D71" s="124"/>
      <c r="E71" s="124"/>
      <c r="F71" s="126"/>
      <c r="G71" s="126"/>
      <c r="H71" s="126"/>
      <c r="I71" s="124" t="s">
        <v>600</v>
      </c>
      <c r="J71" s="124" t="s">
        <v>598</v>
      </c>
      <c r="K71" s="128"/>
      <c r="L71" s="128"/>
      <c r="M71" s="128"/>
      <c r="N71" s="128"/>
      <c r="O71" s="128"/>
      <c r="P71" s="128"/>
      <c r="Q71" s="128"/>
      <c r="R71" s="128"/>
      <c r="S71" s="128"/>
      <c r="T71" s="128">
        <v>3000</v>
      </c>
      <c r="U71" s="128">
        <v>3300</v>
      </c>
      <c r="V71" s="128"/>
    </row>
    <row r="72" ht="19.5" customHeight="1" spans="1:22">
      <c r="A72" s="124"/>
      <c r="B72" s="124"/>
      <c r="C72" s="124"/>
      <c r="D72" s="124"/>
      <c r="E72" s="124"/>
      <c r="F72" s="126"/>
      <c r="G72" s="126"/>
      <c r="H72" s="126"/>
      <c r="I72" s="124"/>
      <c r="J72" s="124" t="s">
        <v>599</v>
      </c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</row>
    <row r="73" ht="19.5" customHeight="1" spans="1:22">
      <c r="A73" s="124"/>
      <c r="B73" s="124"/>
      <c r="C73" s="124"/>
      <c r="D73" s="124"/>
      <c r="E73" s="124"/>
      <c r="F73" s="126"/>
      <c r="G73" s="126"/>
      <c r="H73" s="126"/>
      <c r="I73" s="124" t="s">
        <v>601</v>
      </c>
      <c r="J73" s="124" t="s">
        <v>598</v>
      </c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>
        <v>3000</v>
      </c>
      <c r="V73" s="128">
        <v>3000</v>
      </c>
    </row>
    <row r="74" ht="19.5" customHeight="1" spans="1:22">
      <c r="A74" s="124"/>
      <c r="B74" s="124"/>
      <c r="C74" s="124"/>
      <c r="D74" s="124"/>
      <c r="E74" s="124"/>
      <c r="F74" s="126"/>
      <c r="G74" s="126"/>
      <c r="H74" s="126"/>
      <c r="I74" s="124"/>
      <c r="J74" s="124" t="s">
        <v>599</v>
      </c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</row>
    <row r="75" ht="19.5" customHeight="1" spans="1:22">
      <c r="A75" s="124"/>
      <c r="B75" s="124"/>
      <c r="C75" s="124"/>
      <c r="D75" s="124"/>
      <c r="E75" s="124"/>
      <c r="F75" s="126"/>
      <c r="G75" s="126"/>
      <c r="H75" s="126"/>
      <c r="I75" s="124" t="s">
        <v>602</v>
      </c>
      <c r="J75" s="124" t="s">
        <v>598</v>
      </c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>
        <v>3000</v>
      </c>
    </row>
    <row r="76" ht="19.5" customHeight="1" spans="1:22">
      <c r="A76" s="124"/>
      <c r="B76" s="124"/>
      <c r="C76" s="124"/>
      <c r="D76" s="124"/>
      <c r="E76" s="124"/>
      <c r="F76" s="126"/>
      <c r="G76" s="126"/>
      <c r="H76" s="126"/>
      <c r="I76" s="124"/>
      <c r="J76" s="124" t="s">
        <v>599</v>
      </c>
      <c r="K76" s="128">
        <v>2400</v>
      </c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</row>
    <row r="77" ht="19.5" customHeight="1" spans="1:22">
      <c r="A77" s="124"/>
      <c r="B77" s="124"/>
      <c r="C77" s="124"/>
      <c r="D77" s="124" t="s">
        <v>87</v>
      </c>
      <c r="E77" s="124">
        <v>6223</v>
      </c>
      <c r="F77" s="127" t="s">
        <v>60</v>
      </c>
      <c r="G77" s="127"/>
      <c r="H77" s="127"/>
      <c r="I77" s="124" t="s">
        <v>597</v>
      </c>
      <c r="J77" s="124" t="s">
        <v>598</v>
      </c>
      <c r="K77" s="128"/>
      <c r="L77" s="128">
        <v>6223</v>
      </c>
      <c r="M77" s="128"/>
      <c r="N77" s="128"/>
      <c r="O77" s="128"/>
      <c r="P77" s="128"/>
      <c r="Q77" s="128"/>
      <c r="R77" s="128"/>
      <c r="S77" s="128"/>
      <c r="T77" s="128"/>
      <c r="U77" s="128"/>
      <c r="V77" s="128"/>
    </row>
    <row r="78" ht="19.5" customHeight="1" spans="1:22">
      <c r="A78" s="124"/>
      <c r="B78" s="124"/>
      <c r="C78" s="124"/>
      <c r="D78" s="124"/>
      <c r="E78" s="124"/>
      <c r="F78" s="124"/>
      <c r="G78" s="124"/>
      <c r="H78" s="124"/>
      <c r="I78" s="124"/>
      <c r="J78" s="124" t="s">
        <v>599</v>
      </c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</row>
    <row r="79" ht="19.5" customHeight="1" spans="1:22">
      <c r="A79" s="124"/>
      <c r="B79" s="124"/>
      <c r="C79" s="124"/>
      <c r="D79" s="124"/>
      <c r="E79" s="124"/>
      <c r="F79" s="124"/>
      <c r="G79" s="124"/>
      <c r="H79" s="124"/>
      <c r="I79" s="124" t="s">
        <v>600</v>
      </c>
      <c r="J79" s="124" t="s">
        <v>598</v>
      </c>
      <c r="K79" s="128"/>
      <c r="L79" s="128"/>
      <c r="M79" s="128">
        <v>3000</v>
      </c>
      <c r="N79" s="128">
        <v>3223</v>
      </c>
      <c r="O79" s="128"/>
      <c r="P79" s="128"/>
      <c r="Q79" s="128"/>
      <c r="R79" s="128"/>
      <c r="S79" s="128"/>
      <c r="T79" s="128"/>
      <c r="U79" s="128"/>
      <c r="V79" s="128"/>
    </row>
    <row r="80" ht="19.5" customHeight="1" spans="1:22">
      <c r="A80" s="124"/>
      <c r="B80" s="124"/>
      <c r="C80" s="124"/>
      <c r="D80" s="124"/>
      <c r="E80" s="124"/>
      <c r="F80" s="124"/>
      <c r="G80" s="124"/>
      <c r="H80" s="124"/>
      <c r="I80" s="124"/>
      <c r="J80" s="124" t="s">
        <v>599</v>
      </c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</row>
    <row r="81" ht="19.5" customHeight="1" spans="1:22">
      <c r="A81" s="124"/>
      <c r="B81" s="124"/>
      <c r="C81" s="124"/>
      <c r="D81" s="124"/>
      <c r="E81" s="124"/>
      <c r="F81" s="124"/>
      <c r="G81" s="124"/>
      <c r="H81" s="124"/>
      <c r="I81" s="124" t="s">
        <v>601</v>
      </c>
      <c r="J81" s="124" t="s">
        <v>598</v>
      </c>
      <c r="K81" s="128"/>
      <c r="L81" s="128"/>
      <c r="M81" s="128"/>
      <c r="N81" s="128"/>
      <c r="O81" s="128">
        <v>1500</v>
      </c>
      <c r="P81" s="128">
        <v>1500</v>
      </c>
      <c r="Q81" s="128">
        <v>1500</v>
      </c>
      <c r="R81" s="128">
        <v>1723</v>
      </c>
      <c r="S81" s="128"/>
      <c r="T81" s="128"/>
      <c r="U81" s="128"/>
      <c r="V81" s="128"/>
    </row>
    <row r="82" ht="19.5" customHeight="1" spans="1:22">
      <c r="A82" s="124"/>
      <c r="B82" s="124"/>
      <c r="C82" s="124"/>
      <c r="D82" s="124"/>
      <c r="E82" s="124"/>
      <c r="F82" s="124"/>
      <c r="G82" s="124"/>
      <c r="H82" s="124"/>
      <c r="I82" s="124"/>
      <c r="J82" s="124" t="s">
        <v>599</v>
      </c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</row>
    <row r="83" ht="19.5" customHeight="1" spans="1:22">
      <c r="A83" s="124"/>
      <c r="B83" s="124"/>
      <c r="C83" s="124"/>
      <c r="D83" s="124"/>
      <c r="E83" s="124"/>
      <c r="F83" s="124"/>
      <c r="G83" s="124"/>
      <c r="H83" s="124"/>
      <c r="I83" s="124" t="s">
        <v>602</v>
      </c>
      <c r="J83" s="124" t="s">
        <v>598</v>
      </c>
      <c r="K83" s="128"/>
      <c r="L83" s="128"/>
      <c r="M83" s="128"/>
      <c r="N83" s="128"/>
      <c r="O83" s="128"/>
      <c r="P83" s="128"/>
      <c r="Q83" s="128">
        <v>1500</v>
      </c>
      <c r="R83" s="128">
        <v>1500</v>
      </c>
      <c r="S83" s="128">
        <v>1500</v>
      </c>
      <c r="T83" s="128">
        <v>1723</v>
      </c>
      <c r="U83" s="128"/>
      <c r="V83" s="128"/>
    </row>
    <row r="84" ht="19.5" customHeight="1" spans="1:22">
      <c r="A84" s="124"/>
      <c r="B84" s="124"/>
      <c r="C84" s="124"/>
      <c r="D84" s="124"/>
      <c r="E84" s="124"/>
      <c r="F84" s="124"/>
      <c r="G84" s="124"/>
      <c r="H84" s="124"/>
      <c r="I84" s="124"/>
      <c r="J84" s="124" t="s">
        <v>599</v>
      </c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</row>
    <row r="85" ht="19.5" customHeight="1" spans="1:22">
      <c r="A85" s="124"/>
      <c r="B85" s="124"/>
      <c r="C85" s="124"/>
      <c r="D85" s="124" t="s">
        <v>88</v>
      </c>
      <c r="E85" s="124">
        <v>3180</v>
      </c>
      <c r="F85" s="127" t="s">
        <v>60</v>
      </c>
      <c r="G85" s="127"/>
      <c r="H85" s="127"/>
      <c r="I85" s="124" t="s">
        <v>597</v>
      </c>
      <c r="J85" s="124" t="s">
        <v>598</v>
      </c>
      <c r="K85" s="128"/>
      <c r="L85" s="128"/>
      <c r="M85" s="128">
        <v>3180</v>
      </c>
      <c r="N85" s="128"/>
      <c r="O85" s="128"/>
      <c r="P85" s="128"/>
      <c r="Q85" s="128"/>
      <c r="R85" s="128"/>
      <c r="S85" s="128"/>
      <c r="T85" s="128"/>
      <c r="U85" s="128"/>
      <c r="V85" s="128"/>
    </row>
    <row r="86" ht="19.5" customHeight="1" spans="1:22">
      <c r="A86" s="124"/>
      <c r="B86" s="124"/>
      <c r="C86" s="124"/>
      <c r="D86" s="124"/>
      <c r="E86" s="124"/>
      <c r="F86" s="124"/>
      <c r="G86" s="124"/>
      <c r="H86" s="124"/>
      <c r="I86" s="124"/>
      <c r="J86" s="124" t="s">
        <v>599</v>
      </c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</row>
    <row r="87" ht="19.5" customHeight="1" spans="1:22">
      <c r="A87" s="124"/>
      <c r="B87" s="124"/>
      <c r="C87" s="124"/>
      <c r="D87" s="124"/>
      <c r="E87" s="124"/>
      <c r="F87" s="124"/>
      <c r="G87" s="124"/>
      <c r="H87" s="124"/>
      <c r="I87" s="124" t="s">
        <v>600</v>
      </c>
      <c r="J87" s="124" t="s">
        <v>598</v>
      </c>
      <c r="K87" s="128"/>
      <c r="L87" s="128"/>
      <c r="M87" s="128"/>
      <c r="N87" s="128">
        <v>3180</v>
      </c>
      <c r="O87" s="128"/>
      <c r="P87" s="128"/>
      <c r="Q87" s="128"/>
      <c r="R87" s="128"/>
      <c r="S87" s="128"/>
      <c r="T87" s="128"/>
      <c r="U87" s="128"/>
      <c r="V87" s="128"/>
    </row>
    <row r="88" ht="19.5" customHeight="1" spans="1:22">
      <c r="A88" s="124"/>
      <c r="B88" s="124"/>
      <c r="C88" s="124"/>
      <c r="D88" s="124"/>
      <c r="E88" s="124"/>
      <c r="F88" s="124"/>
      <c r="G88" s="124"/>
      <c r="H88" s="124"/>
      <c r="I88" s="124"/>
      <c r="J88" s="124" t="s">
        <v>599</v>
      </c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</row>
    <row r="89" ht="19.5" customHeight="1" spans="1:22">
      <c r="A89" s="124"/>
      <c r="B89" s="124"/>
      <c r="C89" s="124"/>
      <c r="D89" s="124"/>
      <c r="E89" s="124"/>
      <c r="F89" s="124"/>
      <c r="G89" s="124"/>
      <c r="H89" s="124"/>
      <c r="I89" s="124" t="s">
        <v>601</v>
      </c>
      <c r="J89" s="124" t="s">
        <v>598</v>
      </c>
      <c r="K89" s="128"/>
      <c r="L89" s="128"/>
      <c r="M89" s="128"/>
      <c r="N89" s="128"/>
      <c r="O89" s="128">
        <v>1500</v>
      </c>
      <c r="P89" s="128">
        <v>1680</v>
      </c>
      <c r="Q89" s="128"/>
      <c r="R89" s="128"/>
      <c r="S89" s="128"/>
      <c r="T89" s="128"/>
      <c r="U89" s="128"/>
      <c r="V89" s="128"/>
    </row>
    <row r="90" ht="19.5" customHeight="1" spans="1:22">
      <c r="A90" s="124"/>
      <c r="B90" s="124"/>
      <c r="C90" s="124"/>
      <c r="D90" s="124"/>
      <c r="E90" s="124"/>
      <c r="F90" s="124"/>
      <c r="G90" s="124"/>
      <c r="H90" s="124"/>
      <c r="I90" s="124"/>
      <c r="J90" s="124" t="s">
        <v>599</v>
      </c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</row>
    <row r="91" ht="19.5" customHeight="1" spans="1:22">
      <c r="A91" s="124"/>
      <c r="B91" s="124"/>
      <c r="C91" s="124"/>
      <c r="D91" s="124"/>
      <c r="E91" s="124"/>
      <c r="F91" s="124"/>
      <c r="G91" s="124"/>
      <c r="H91" s="124"/>
      <c r="I91" s="124" t="s">
        <v>602</v>
      </c>
      <c r="J91" s="124" t="s">
        <v>598</v>
      </c>
      <c r="K91" s="128"/>
      <c r="L91" s="128"/>
      <c r="M91" s="128"/>
      <c r="N91" s="128"/>
      <c r="O91" s="128"/>
      <c r="P91" s="128"/>
      <c r="Q91" s="128">
        <v>1500</v>
      </c>
      <c r="R91" s="128">
        <v>1680</v>
      </c>
      <c r="S91" s="128"/>
      <c r="T91" s="128"/>
      <c r="U91" s="128"/>
      <c r="V91" s="128"/>
    </row>
    <row r="92" ht="19.5" customHeight="1" spans="1:22">
      <c r="A92" s="124"/>
      <c r="B92" s="124"/>
      <c r="C92" s="124"/>
      <c r="D92" s="124"/>
      <c r="E92" s="124"/>
      <c r="F92" s="124"/>
      <c r="G92" s="124"/>
      <c r="H92" s="124"/>
      <c r="I92" s="124"/>
      <c r="J92" s="124" t="s">
        <v>599</v>
      </c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</row>
    <row r="93" ht="19.5" customHeight="1" spans="1:22">
      <c r="A93" s="124"/>
      <c r="B93" s="124"/>
      <c r="C93" s="124"/>
      <c r="D93" s="124" t="s">
        <v>89</v>
      </c>
      <c r="E93" s="124">
        <v>22</v>
      </c>
      <c r="F93" s="125" t="s">
        <v>60</v>
      </c>
      <c r="G93" s="125"/>
      <c r="H93" s="125"/>
      <c r="I93" s="124" t="s">
        <v>597</v>
      </c>
      <c r="J93" s="124" t="s">
        <v>598</v>
      </c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</row>
    <row r="94" ht="19.5" customHeight="1" spans="1:22">
      <c r="A94" s="124"/>
      <c r="B94" s="124"/>
      <c r="C94" s="124"/>
      <c r="D94" s="124"/>
      <c r="E94" s="124"/>
      <c r="F94" s="126"/>
      <c r="G94" s="126"/>
      <c r="H94" s="126"/>
      <c r="I94" s="124"/>
      <c r="J94" s="124" t="s">
        <v>599</v>
      </c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</row>
    <row r="95" ht="19.5" customHeight="1" spans="1:22">
      <c r="A95" s="124"/>
      <c r="B95" s="124"/>
      <c r="C95" s="124"/>
      <c r="D95" s="124"/>
      <c r="E95" s="124"/>
      <c r="F95" s="126"/>
      <c r="G95" s="126"/>
      <c r="H95" s="126"/>
      <c r="I95" s="124" t="s">
        <v>600</v>
      </c>
      <c r="J95" s="124" t="s">
        <v>598</v>
      </c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</row>
    <row r="96" ht="19.5" customHeight="1" spans="1:22">
      <c r="A96" s="124"/>
      <c r="B96" s="124"/>
      <c r="C96" s="124"/>
      <c r="D96" s="124"/>
      <c r="E96" s="124"/>
      <c r="F96" s="126"/>
      <c r="G96" s="126"/>
      <c r="H96" s="126"/>
      <c r="I96" s="124"/>
      <c r="J96" s="124" t="s">
        <v>599</v>
      </c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</row>
    <row r="97" ht="19.5" customHeight="1" spans="1:22">
      <c r="A97" s="124"/>
      <c r="B97" s="124"/>
      <c r="C97" s="124"/>
      <c r="D97" s="124"/>
      <c r="E97" s="124"/>
      <c r="F97" s="126"/>
      <c r="G97" s="126"/>
      <c r="H97" s="126"/>
      <c r="I97" s="124" t="s">
        <v>601</v>
      </c>
      <c r="J97" s="124" t="s">
        <v>598</v>
      </c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</row>
    <row r="98" ht="19.5" customHeight="1" spans="1:22">
      <c r="A98" s="124"/>
      <c r="B98" s="124"/>
      <c r="C98" s="124"/>
      <c r="D98" s="124"/>
      <c r="E98" s="124"/>
      <c r="F98" s="126"/>
      <c r="G98" s="126"/>
      <c r="H98" s="126"/>
      <c r="I98" s="124"/>
      <c r="J98" s="124" t="s">
        <v>599</v>
      </c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</row>
    <row r="99" ht="19.5" customHeight="1" spans="1:22">
      <c r="A99" s="124"/>
      <c r="B99" s="124"/>
      <c r="C99" s="124"/>
      <c r="D99" s="124"/>
      <c r="E99" s="124"/>
      <c r="F99" s="126"/>
      <c r="G99" s="126"/>
      <c r="H99" s="126"/>
      <c r="I99" s="124" t="s">
        <v>602</v>
      </c>
      <c r="J99" s="124" t="s">
        <v>598</v>
      </c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</row>
    <row r="100" ht="19.5" customHeight="1" spans="1:22">
      <c r="A100" s="124"/>
      <c r="B100" s="124"/>
      <c r="C100" s="124"/>
      <c r="D100" s="124"/>
      <c r="E100" s="124"/>
      <c r="F100" s="126"/>
      <c r="G100" s="126"/>
      <c r="H100" s="126"/>
      <c r="I100" s="124"/>
      <c r="J100" s="124" t="s">
        <v>599</v>
      </c>
      <c r="K100" s="128" t="s">
        <v>605</v>
      </c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</row>
    <row r="101" ht="19.5" customHeight="1" spans="1:22">
      <c r="A101" s="124"/>
      <c r="B101" s="124"/>
      <c r="C101" s="124"/>
      <c r="D101" s="124" t="s">
        <v>282</v>
      </c>
      <c r="E101" s="124">
        <v>2937</v>
      </c>
      <c r="F101" s="125" t="s">
        <v>60</v>
      </c>
      <c r="G101" s="125"/>
      <c r="H101" s="125"/>
      <c r="I101" s="124" t="s">
        <v>597</v>
      </c>
      <c r="J101" s="124" t="s">
        <v>598</v>
      </c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</row>
    <row r="102" ht="19.5" customHeight="1" spans="1:22">
      <c r="A102" s="124"/>
      <c r="B102" s="124"/>
      <c r="C102" s="124"/>
      <c r="D102" s="124"/>
      <c r="E102" s="124"/>
      <c r="F102" s="126"/>
      <c r="G102" s="126"/>
      <c r="H102" s="126"/>
      <c r="I102" s="124"/>
      <c r="J102" s="124" t="s">
        <v>599</v>
      </c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</row>
    <row r="103" ht="19.5" customHeight="1" spans="1:22">
      <c r="A103" s="124"/>
      <c r="B103" s="124"/>
      <c r="C103" s="124"/>
      <c r="D103" s="124"/>
      <c r="E103" s="124"/>
      <c r="F103" s="126"/>
      <c r="G103" s="126"/>
      <c r="H103" s="126"/>
      <c r="I103" s="124" t="s">
        <v>600</v>
      </c>
      <c r="J103" s="124" t="s">
        <v>598</v>
      </c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</row>
    <row r="104" ht="19.5" customHeight="1" spans="1:22">
      <c r="A104" s="124"/>
      <c r="B104" s="124"/>
      <c r="C104" s="124"/>
      <c r="D104" s="124"/>
      <c r="E104" s="124"/>
      <c r="F104" s="126"/>
      <c r="G104" s="126"/>
      <c r="H104" s="126"/>
      <c r="I104" s="124"/>
      <c r="J104" s="124" t="s">
        <v>599</v>
      </c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</row>
    <row r="105" ht="19.5" customHeight="1" spans="1:22">
      <c r="A105" s="124"/>
      <c r="B105" s="124"/>
      <c r="C105" s="124"/>
      <c r="D105" s="124"/>
      <c r="E105" s="124"/>
      <c r="F105" s="126"/>
      <c r="G105" s="126"/>
      <c r="H105" s="126"/>
      <c r="I105" s="124" t="s">
        <v>601</v>
      </c>
      <c r="J105" s="124" t="s">
        <v>598</v>
      </c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</row>
    <row r="106" ht="19.5" customHeight="1" spans="1:22">
      <c r="A106" s="124"/>
      <c r="B106" s="124"/>
      <c r="C106" s="124"/>
      <c r="D106" s="124"/>
      <c r="E106" s="124"/>
      <c r="F106" s="126"/>
      <c r="G106" s="126"/>
      <c r="H106" s="126"/>
      <c r="I106" s="124"/>
      <c r="J106" s="124" t="s">
        <v>599</v>
      </c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</row>
    <row r="107" ht="19.5" customHeight="1" spans="1:22">
      <c r="A107" s="124"/>
      <c r="B107" s="124"/>
      <c r="C107" s="124"/>
      <c r="D107" s="124"/>
      <c r="E107" s="124"/>
      <c r="F107" s="126"/>
      <c r="G107" s="126"/>
      <c r="H107" s="126"/>
      <c r="I107" s="124" t="s">
        <v>602</v>
      </c>
      <c r="J107" s="124" t="s">
        <v>598</v>
      </c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</row>
    <row r="108" ht="19.5" customHeight="1" spans="1:22">
      <c r="A108" s="124"/>
      <c r="B108" s="124"/>
      <c r="C108" s="124"/>
      <c r="D108" s="124"/>
      <c r="E108" s="124"/>
      <c r="F108" s="126"/>
      <c r="G108" s="126"/>
      <c r="H108" s="126"/>
      <c r="I108" s="124"/>
      <c r="J108" s="124" t="s">
        <v>599</v>
      </c>
      <c r="K108" s="128" t="s">
        <v>605</v>
      </c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</row>
    <row r="109" ht="19.5" customHeight="1" spans="1:22">
      <c r="A109" s="124"/>
      <c r="B109" s="124"/>
      <c r="C109" s="124"/>
      <c r="D109" s="124" t="s">
        <v>90</v>
      </c>
      <c r="E109" s="124">
        <v>1155</v>
      </c>
      <c r="F109" s="125" t="s">
        <v>60</v>
      </c>
      <c r="G109" s="125"/>
      <c r="H109" s="125"/>
      <c r="I109" s="124" t="s">
        <v>597</v>
      </c>
      <c r="J109" s="124" t="s">
        <v>598</v>
      </c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</row>
    <row r="110" ht="19.5" customHeight="1" spans="1:22">
      <c r="A110" s="124"/>
      <c r="B110" s="124"/>
      <c r="C110" s="124"/>
      <c r="D110" s="124"/>
      <c r="E110" s="124"/>
      <c r="F110" s="126"/>
      <c r="G110" s="126"/>
      <c r="H110" s="126"/>
      <c r="I110" s="124"/>
      <c r="J110" s="124" t="s">
        <v>599</v>
      </c>
      <c r="K110" s="128" t="s">
        <v>605</v>
      </c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</row>
    <row r="111" ht="19.5" customHeight="1" spans="1:22">
      <c r="A111" s="124"/>
      <c r="B111" s="124"/>
      <c r="C111" s="124"/>
      <c r="D111" s="124"/>
      <c r="E111" s="124"/>
      <c r="F111" s="126"/>
      <c r="G111" s="126"/>
      <c r="H111" s="126"/>
      <c r="I111" s="124" t="s">
        <v>600</v>
      </c>
      <c r="J111" s="124" t="s">
        <v>598</v>
      </c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</row>
    <row r="112" ht="19.5" customHeight="1" spans="1:22">
      <c r="A112" s="124"/>
      <c r="B112" s="124"/>
      <c r="C112" s="124"/>
      <c r="D112" s="124"/>
      <c r="E112" s="124"/>
      <c r="F112" s="126"/>
      <c r="G112" s="126"/>
      <c r="H112" s="126"/>
      <c r="I112" s="124"/>
      <c r="J112" s="124" t="s">
        <v>599</v>
      </c>
      <c r="K112" s="128" t="s">
        <v>605</v>
      </c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</row>
    <row r="113" ht="19.5" customHeight="1" spans="1:22">
      <c r="A113" s="124"/>
      <c r="B113" s="124"/>
      <c r="C113" s="124"/>
      <c r="D113" s="124"/>
      <c r="E113" s="124"/>
      <c r="F113" s="126"/>
      <c r="G113" s="126"/>
      <c r="H113" s="126"/>
      <c r="I113" s="124" t="s">
        <v>601</v>
      </c>
      <c r="J113" s="124" t="s">
        <v>598</v>
      </c>
      <c r="K113" s="128"/>
      <c r="L113" s="128">
        <v>1155</v>
      </c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</row>
    <row r="114" ht="19.5" customHeight="1" spans="1:22">
      <c r="A114" s="124"/>
      <c r="B114" s="124"/>
      <c r="C114" s="124"/>
      <c r="D114" s="124"/>
      <c r="E114" s="124"/>
      <c r="F114" s="126"/>
      <c r="G114" s="126"/>
      <c r="H114" s="126"/>
      <c r="I114" s="124"/>
      <c r="J114" s="124" t="s">
        <v>599</v>
      </c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</row>
    <row r="115" ht="19.5" customHeight="1" spans="1:22">
      <c r="A115" s="124"/>
      <c r="B115" s="124"/>
      <c r="C115" s="124"/>
      <c r="D115" s="124"/>
      <c r="E115" s="124"/>
      <c r="F115" s="126"/>
      <c r="G115" s="126"/>
      <c r="H115" s="126"/>
      <c r="I115" s="124" t="s">
        <v>602</v>
      </c>
      <c r="J115" s="124" t="s">
        <v>598</v>
      </c>
      <c r="K115" s="128"/>
      <c r="L115" s="128"/>
      <c r="M115" s="128">
        <v>1155</v>
      </c>
      <c r="N115" s="128"/>
      <c r="O115" s="128"/>
      <c r="P115" s="128"/>
      <c r="Q115" s="128"/>
      <c r="R115" s="128"/>
      <c r="S115" s="128"/>
      <c r="T115" s="128"/>
      <c r="U115" s="128"/>
      <c r="V115" s="128"/>
    </row>
    <row r="116" ht="19.5" customHeight="1" spans="1:22">
      <c r="A116" s="124"/>
      <c r="B116" s="124"/>
      <c r="C116" s="124"/>
      <c r="D116" s="124"/>
      <c r="E116" s="124"/>
      <c r="F116" s="126"/>
      <c r="G116" s="126"/>
      <c r="H116" s="126"/>
      <c r="I116" s="124"/>
      <c r="J116" s="124" t="s">
        <v>599</v>
      </c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</row>
    <row r="117" ht="19.5" customHeight="1" spans="1:22">
      <c r="A117" s="124"/>
      <c r="B117" s="124"/>
      <c r="C117" s="124"/>
      <c r="D117" s="124" t="s">
        <v>141</v>
      </c>
      <c r="E117" s="124">
        <v>98800</v>
      </c>
      <c r="F117" s="125" t="s">
        <v>60</v>
      </c>
      <c r="G117" s="125"/>
      <c r="H117" s="125"/>
      <c r="I117" s="124" t="s">
        <v>597</v>
      </c>
      <c r="J117" s="124" t="s">
        <v>598</v>
      </c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</row>
    <row r="118" ht="19.5" customHeight="1" spans="1:22">
      <c r="A118" s="124"/>
      <c r="B118" s="124"/>
      <c r="C118" s="124"/>
      <c r="D118" s="124"/>
      <c r="E118" s="124"/>
      <c r="F118" s="126"/>
      <c r="G118" s="126"/>
      <c r="H118" s="126"/>
      <c r="I118" s="124"/>
      <c r="J118" s="124" t="s">
        <v>599</v>
      </c>
      <c r="K118" s="128" t="s">
        <v>605</v>
      </c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</row>
    <row r="119" ht="19.5" customHeight="1" spans="1:22">
      <c r="A119" s="124"/>
      <c r="B119" s="124"/>
      <c r="C119" s="124"/>
      <c r="D119" s="124"/>
      <c r="E119" s="124"/>
      <c r="F119" s="126"/>
      <c r="G119" s="126"/>
      <c r="H119" s="126"/>
      <c r="I119" s="124" t="s">
        <v>600</v>
      </c>
      <c r="J119" s="124" t="s">
        <v>598</v>
      </c>
      <c r="K119" s="128"/>
      <c r="L119" s="128">
        <v>3000</v>
      </c>
      <c r="M119" s="128">
        <v>3000</v>
      </c>
      <c r="N119" s="128">
        <v>3000</v>
      </c>
      <c r="O119" s="128">
        <v>3000</v>
      </c>
      <c r="P119" s="128">
        <v>3000</v>
      </c>
      <c r="Q119" s="128">
        <v>3000</v>
      </c>
      <c r="R119" s="128">
        <v>3000</v>
      </c>
      <c r="S119" s="128">
        <v>3000</v>
      </c>
      <c r="T119" s="128">
        <v>3000</v>
      </c>
      <c r="U119" s="128">
        <v>3000</v>
      </c>
      <c r="V119" s="128">
        <v>3000</v>
      </c>
    </row>
    <row r="120" ht="19.5" customHeight="1" spans="1:22">
      <c r="A120" s="124"/>
      <c r="B120" s="124"/>
      <c r="C120" s="124"/>
      <c r="D120" s="124"/>
      <c r="E120" s="124"/>
      <c r="F120" s="126"/>
      <c r="G120" s="126"/>
      <c r="H120" s="126"/>
      <c r="I120" s="124"/>
      <c r="J120" s="124" t="s">
        <v>599</v>
      </c>
      <c r="K120" s="128">
        <v>50000</v>
      </c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</row>
    <row r="121" ht="19.5" customHeight="1" spans="1:22">
      <c r="A121" s="124"/>
      <c r="B121" s="124"/>
      <c r="C121" s="124"/>
      <c r="D121" s="124"/>
      <c r="E121" s="124"/>
      <c r="F121" s="126"/>
      <c r="G121" s="126"/>
      <c r="H121" s="126"/>
      <c r="I121" s="124" t="s">
        <v>601</v>
      </c>
      <c r="J121" s="124" t="s">
        <v>598</v>
      </c>
      <c r="K121" s="128"/>
      <c r="L121" s="128"/>
      <c r="M121" s="128"/>
      <c r="N121" s="128"/>
      <c r="O121" s="128"/>
      <c r="P121" s="128"/>
      <c r="Q121" s="128">
        <v>3000</v>
      </c>
      <c r="R121" s="128">
        <v>3000</v>
      </c>
      <c r="S121" s="128">
        <v>3000</v>
      </c>
      <c r="T121" s="128">
        <v>3000</v>
      </c>
      <c r="U121" s="128">
        <v>3000</v>
      </c>
      <c r="V121" s="128">
        <v>3000</v>
      </c>
    </row>
    <row r="122" ht="19.5" customHeight="1" spans="1:22">
      <c r="A122" s="124"/>
      <c r="B122" s="124"/>
      <c r="C122" s="124"/>
      <c r="D122" s="124"/>
      <c r="E122" s="124"/>
      <c r="F122" s="126"/>
      <c r="G122" s="126"/>
      <c r="H122" s="126"/>
      <c r="I122" s="124"/>
      <c r="J122" s="124" t="s">
        <v>599</v>
      </c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</row>
    <row r="123" ht="19.5" customHeight="1" spans="1:22">
      <c r="A123" s="124"/>
      <c r="B123" s="124"/>
      <c r="C123" s="124"/>
      <c r="D123" s="124" t="s">
        <v>142</v>
      </c>
      <c r="E123" s="124">
        <v>5968</v>
      </c>
      <c r="F123" s="127" t="s">
        <v>60</v>
      </c>
      <c r="G123" s="127"/>
      <c r="H123" s="127"/>
      <c r="I123" s="124" t="s">
        <v>597</v>
      </c>
      <c r="J123" s="124" t="s">
        <v>598</v>
      </c>
      <c r="K123" s="128"/>
      <c r="L123" s="128"/>
      <c r="M123" s="128"/>
      <c r="N123" s="128"/>
      <c r="O123" s="128"/>
      <c r="P123" s="128"/>
      <c r="R123" s="128">
        <v>5968</v>
      </c>
      <c r="S123" s="128"/>
      <c r="T123" s="128"/>
      <c r="U123" s="128"/>
      <c r="V123" s="128"/>
    </row>
    <row r="124" ht="19.5" customHeight="1" spans="1:22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 t="s">
        <v>599</v>
      </c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</row>
    <row r="125" ht="19.5" customHeight="1" spans="1:22">
      <c r="A125" s="124"/>
      <c r="B125" s="124"/>
      <c r="C125" s="124"/>
      <c r="D125" s="124"/>
      <c r="E125" s="124"/>
      <c r="F125" s="124"/>
      <c r="G125" s="124"/>
      <c r="H125" s="124"/>
      <c r="I125" s="124" t="s">
        <v>600</v>
      </c>
      <c r="J125" s="124" t="s">
        <v>598</v>
      </c>
      <c r="K125" s="128"/>
      <c r="L125" s="128"/>
      <c r="M125" s="128"/>
      <c r="N125" s="128"/>
      <c r="O125" s="128"/>
      <c r="P125" s="128"/>
      <c r="Q125" s="128"/>
      <c r="R125" s="128"/>
      <c r="S125" s="128">
        <v>5968</v>
      </c>
      <c r="T125" s="128"/>
      <c r="U125" s="128"/>
      <c r="V125" s="128"/>
    </row>
    <row r="126" ht="19.5" customHeight="1" spans="1:22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 t="s">
        <v>599</v>
      </c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</row>
    <row r="127" ht="19.5" customHeight="1" spans="1:22">
      <c r="A127" s="124"/>
      <c r="B127" s="124"/>
      <c r="C127" s="124"/>
      <c r="D127" s="124"/>
      <c r="E127" s="124"/>
      <c r="F127" s="124"/>
      <c r="G127" s="124"/>
      <c r="H127" s="124"/>
      <c r="I127" s="124" t="s">
        <v>601</v>
      </c>
      <c r="J127" s="124" t="s">
        <v>598</v>
      </c>
      <c r="K127" s="128"/>
      <c r="L127" s="128"/>
      <c r="M127" s="128"/>
      <c r="N127" s="128"/>
      <c r="O127" s="128"/>
      <c r="P127" s="128"/>
      <c r="Q127" s="128"/>
      <c r="R127" s="128"/>
      <c r="T127" s="128">
        <v>3000</v>
      </c>
      <c r="U127" s="128">
        <v>2968</v>
      </c>
      <c r="V127" s="128"/>
    </row>
    <row r="128" ht="19.5" customHeight="1" spans="1:22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 t="s">
        <v>599</v>
      </c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</row>
    <row r="129" ht="19.5" customHeight="1" spans="1:22">
      <c r="A129" s="124"/>
      <c r="B129" s="124"/>
      <c r="C129" s="124"/>
      <c r="D129" s="124" t="s">
        <v>143</v>
      </c>
      <c r="E129" s="124">
        <v>94200</v>
      </c>
      <c r="F129" s="127" t="s">
        <v>60</v>
      </c>
      <c r="G129" s="127"/>
      <c r="H129" s="127"/>
      <c r="I129" s="124" t="s">
        <v>597</v>
      </c>
      <c r="J129" s="124" t="s">
        <v>598</v>
      </c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</row>
    <row r="130" ht="19.5" customHeight="1" spans="1:22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 t="s">
        <v>599</v>
      </c>
      <c r="K130" s="128" t="s">
        <v>605</v>
      </c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</row>
    <row r="131" ht="19.5" customHeight="1" spans="1:22">
      <c r="A131" s="124"/>
      <c r="B131" s="124"/>
      <c r="C131" s="124"/>
      <c r="D131" s="124"/>
      <c r="E131" s="124"/>
      <c r="F131" s="124"/>
      <c r="G131" s="124"/>
      <c r="H131" s="124"/>
      <c r="I131" s="124" t="s">
        <v>600</v>
      </c>
      <c r="J131" s="124" t="s">
        <v>598</v>
      </c>
      <c r="K131" s="128"/>
      <c r="L131" s="128">
        <v>5000</v>
      </c>
      <c r="M131" s="128">
        <v>5000</v>
      </c>
      <c r="N131" s="128">
        <v>5000</v>
      </c>
      <c r="O131" s="128">
        <v>5000</v>
      </c>
      <c r="P131" s="128">
        <v>5000</v>
      </c>
      <c r="Q131" s="128">
        <v>5000</v>
      </c>
      <c r="R131" s="128">
        <v>5000</v>
      </c>
      <c r="S131" s="128">
        <v>5000</v>
      </c>
      <c r="T131" s="128">
        <v>5000</v>
      </c>
      <c r="U131" s="128">
        <v>5000</v>
      </c>
      <c r="V131" s="128">
        <v>5000</v>
      </c>
    </row>
    <row r="132" ht="19.5" customHeight="1" spans="1:22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 t="s">
        <v>599</v>
      </c>
      <c r="K132" s="128">
        <v>30000</v>
      </c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</row>
    <row r="133" ht="19.5" customHeight="1" spans="1:22">
      <c r="A133" s="124"/>
      <c r="B133" s="124"/>
      <c r="C133" s="124"/>
      <c r="D133" s="124"/>
      <c r="E133" s="124"/>
      <c r="F133" s="124"/>
      <c r="G133" s="124"/>
      <c r="H133" s="124"/>
      <c r="I133" s="124" t="s">
        <v>601</v>
      </c>
      <c r="J133" s="124" t="s">
        <v>598</v>
      </c>
      <c r="K133" s="128">
        <v>3000</v>
      </c>
      <c r="L133" s="128">
        <v>3000</v>
      </c>
      <c r="M133" s="128">
        <v>3000</v>
      </c>
      <c r="N133" s="128">
        <v>3000</v>
      </c>
      <c r="O133" s="128">
        <v>3000</v>
      </c>
      <c r="P133" s="128">
        <v>3000</v>
      </c>
      <c r="Q133" s="128">
        <v>3000</v>
      </c>
      <c r="R133" s="128">
        <v>3000</v>
      </c>
      <c r="S133" s="128">
        <v>3000</v>
      </c>
      <c r="T133" s="128">
        <v>3000</v>
      </c>
      <c r="U133" s="128">
        <v>3000</v>
      </c>
      <c r="V133" s="128">
        <v>3000</v>
      </c>
    </row>
    <row r="134" ht="19.5" customHeight="1" spans="1:22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 t="s">
        <v>599</v>
      </c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</row>
    <row r="135" ht="19.5" customHeight="1" spans="1:22">
      <c r="A135" s="124"/>
      <c r="B135" s="124"/>
      <c r="C135" s="124"/>
      <c r="D135" s="124" t="s">
        <v>144</v>
      </c>
      <c r="E135" s="124">
        <v>1295</v>
      </c>
      <c r="F135" s="125" t="s">
        <v>60</v>
      </c>
      <c r="G135" s="125"/>
      <c r="H135" s="125"/>
      <c r="I135" s="124" t="s">
        <v>597</v>
      </c>
      <c r="J135" s="124" t="s">
        <v>598</v>
      </c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</row>
    <row r="136" ht="19.5" customHeight="1" spans="1:22">
      <c r="A136" s="124"/>
      <c r="B136" s="124"/>
      <c r="C136" s="124"/>
      <c r="D136" s="124"/>
      <c r="E136" s="124"/>
      <c r="F136" s="126"/>
      <c r="G136" s="126"/>
      <c r="H136" s="126"/>
      <c r="I136" s="124"/>
      <c r="J136" s="124" t="s">
        <v>599</v>
      </c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</row>
    <row r="137" ht="19.5" customHeight="1" spans="1:22">
      <c r="A137" s="124"/>
      <c r="B137" s="124"/>
      <c r="C137" s="124"/>
      <c r="D137" s="124"/>
      <c r="E137" s="124"/>
      <c r="F137" s="126"/>
      <c r="G137" s="126"/>
      <c r="H137" s="126"/>
      <c r="I137" s="124" t="s">
        <v>600</v>
      </c>
      <c r="J137" s="124" t="s">
        <v>598</v>
      </c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</row>
    <row r="138" ht="19.5" customHeight="1" spans="1:22">
      <c r="A138" s="124"/>
      <c r="B138" s="124"/>
      <c r="C138" s="124"/>
      <c r="D138" s="124"/>
      <c r="E138" s="124"/>
      <c r="F138" s="126"/>
      <c r="G138" s="126"/>
      <c r="H138" s="126"/>
      <c r="I138" s="124"/>
      <c r="J138" s="124" t="s">
        <v>599</v>
      </c>
      <c r="K138" s="128" t="s">
        <v>605</v>
      </c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</row>
    <row r="139" ht="19.5" customHeight="1" spans="1:22">
      <c r="A139" s="124"/>
      <c r="B139" s="124"/>
      <c r="C139" s="124"/>
      <c r="D139" s="124"/>
      <c r="E139" s="124"/>
      <c r="F139" s="126"/>
      <c r="G139" s="126"/>
      <c r="H139" s="126"/>
      <c r="I139" s="124" t="s">
        <v>601</v>
      </c>
      <c r="J139" s="124" t="s">
        <v>598</v>
      </c>
      <c r="K139" s="128"/>
      <c r="L139" s="128">
        <v>1295</v>
      </c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</row>
    <row r="140" ht="19.5" customHeight="1" spans="1:22">
      <c r="A140" s="124"/>
      <c r="B140" s="124"/>
      <c r="C140" s="124"/>
      <c r="D140" s="124"/>
      <c r="E140" s="124"/>
      <c r="F140" s="126"/>
      <c r="G140" s="126"/>
      <c r="H140" s="126"/>
      <c r="I140" s="124"/>
      <c r="J140" s="124" t="s">
        <v>599</v>
      </c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</row>
    <row r="141" ht="19.5" customHeight="1" spans="1:22">
      <c r="A141" s="124"/>
      <c r="B141" s="124"/>
      <c r="C141" s="124"/>
      <c r="D141" s="124" t="s">
        <v>145</v>
      </c>
      <c r="E141" s="124">
        <v>20314</v>
      </c>
      <c r="F141" s="127" t="s">
        <v>60</v>
      </c>
      <c r="G141" s="127"/>
      <c r="H141" s="127"/>
      <c r="I141" s="124" t="s">
        <v>597</v>
      </c>
      <c r="J141" s="124" t="s">
        <v>598</v>
      </c>
      <c r="K141" s="128"/>
      <c r="L141" s="128">
        <v>6000</v>
      </c>
      <c r="M141" s="128">
        <v>4000</v>
      </c>
      <c r="N141" s="128"/>
      <c r="O141" s="128"/>
      <c r="P141" s="128"/>
      <c r="Q141" s="128"/>
      <c r="R141" s="128"/>
      <c r="S141" s="128"/>
      <c r="T141" s="128"/>
      <c r="U141" s="128"/>
      <c r="V141" s="128"/>
    </row>
    <row r="142" ht="19.5" customHeight="1" spans="1:22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 t="s">
        <v>599</v>
      </c>
      <c r="K142" s="128">
        <v>10314</v>
      </c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</row>
    <row r="143" ht="19.5" customHeight="1" spans="1:22">
      <c r="A143" s="124"/>
      <c r="B143" s="124"/>
      <c r="C143" s="124"/>
      <c r="D143" s="124"/>
      <c r="E143" s="124"/>
      <c r="F143" s="124"/>
      <c r="G143" s="124"/>
      <c r="H143" s="124"/>
      <c r="I143" s="124" t="s">
        <v>600</v>
      </c>
      <c r="J143" s="124" t="s">
        <v>598</v>
      </c>
      <c r="K143" s="128">
        <v>3000</v>
      </c>
      <c r="L143" s="128">
        <v>3000</v>
      </c>
      <c r="M143" s="128">
        <v>3000</v>
      </c>
      <c r="N143" s="128">
        <v>3000</v>
      </c>
      <c r="O143" s="128">
        <v>3000</v>
      </c>
      <c r="P143" s="128">
        <v>3000</v>
      </c>
      <c r="Q143" s="128">
        <v>2314</v>
      </c>
      <c r="R143" s="128"/>
      <c r="S143" s="128"/>
      <c r="T143" s="128"/>
      <c r="U143" s="128"/>
      <c r="V143" s="128"/>
    </row>
    <row r="144" ht="19.5" customHeight="1" spans="1:22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 t="s">
        <v>599</v>
      </c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</row>
    <row r="145" ht="19.5" customHeight="1" spans="1:22">
      <c r="A145" s="124"/>
      <c r="B145" s="124"/>
      <c r="C145" s="124"/>
      <c r="D145" s="124"/>
      <c r="E145" s="124"/>
      <c r="F145" s="124"/>
      <c r="G145" s="124"/>
      <c r="H145" s="124"/>
      <c r="I145" s="124" t="s">
        <v>601</v>
      </c>
      <c r="J145" s="124" t="s">
        <v>598</v>
      </c>
      <c r="K145" s="128"/>
      <c r="L145" s="128"/>
      <c r="M145" s="128"/>
      <c r="N145" s="128">
        <v>4500</v>
      </c>
      <c r="O145" s="128">
        <v>4500</v>
      </c>
      <c r="P145" s="128">
        <v>4500</v>
      </c>
      <c r="Q145" s="128">
        <v>4500</v>
      </c>
      <c r="R145" s="128">
        <v>2314</v>
      </c>
      <c r="S145" s="128"/>
      <c r="T145" s="128"/>
      <c r="U145" s="128"/>
      <c r="V145" s="128"/>
    </row>
    <row r="146" ht="19.5" customHeight="1" spans="1:22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 t="s">
        <v>599</v>
      </c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</row>
    <row r="147" ht="19.5" customHeight="1" spans="1:22">
      <c r="A147" s="124"/>
      <c r="B147" s="124"/>
      <c r="C147" s="124"/>
      <c r="D147" s="124"/>
      <c r="E147" s="124"/>
      <c r="F147" s="124"/>
      <c r="G147" s="124"/>
      <c r="H147" s="124"/>
      <c r="I147" s="124" t="s">
        <v>602</v>
      </c>
      <c r="J147" s="124" t="s">
        <v>598</v>
      </c>
      <c r="K147" s="128"/>
      <c r="L147" s="128"/>
      <c r="M147" s="128"/>
      <c r="N147" s="128"/>
      <c r="O147" s="128">
        <v>4500</v>
      </c>
      <c r="P147" s="128">
        <v>4500</v>
      </c>
      <c r="Q147" s="128">
        <v>4500</v>
      </c>
      <c r="R147" s="128">
        <v>4500</v>
      </c>
      <c r="S147" s="128">
        <v>2314</v>
      </c>
      <c r="T147" s="128"/>
      <c r="U147" s="128"/>
      <c r="V147" s="128"/>
    </row>
    <row r="148" ht="19.5" customHeight="1" spans="1:22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 t="s">
        <v>599</v>
      </c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</row>
    <row r="149" ht="19.5" customHeight="1" spans="1:22">
      <c r="A149" s="124"/>
      <c r="B149" s="124"/>
      <c r="C149" s="124"/>
      <c r="D149" s="124" t="s">
        <v>146</v>
      </c>
      <c r="E149" s="124">
        <v>6048</v>
      </c>
      <c r="F149" s="127" t="s">
        <v>60</v>
      </c>
      <c r="G149" s="127"/>
      <c r="H149" s="127"/>
      <c r="I149" s="124" t="s">
        <v>597</v>
      </c>
      <c r="J149" s="124" t="s">
        <v>598</v>
      </c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</row>
    <row r="150" ht="19.5" customHeight="1" spans="1:22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 t="s">
        <v>599</v>
      </c>
      <c r="K150" s="128" t="s">
        <v>605</v>
      </c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</row>
    <row r="151" ht="19.5" customHeight="1" spans="1:22">
      <c r="A151" s="124"/>
      <c r="B151" s="124"/>
      <c r="C151" s="124"/>
      <c r="D151" s="124"/>
      <c r="E151" s="124"/>
      <c r="F151" s="124"/>
      <c r="G151" s="124"/>
      <c r="H151" s="124"/>
      <c r="I151" s="124" t="s">
        <v>600</v>
      </c>
      <c r="J151" s="124" t="s">
        <v>598</v>
      </c>
      <c r="K151" s="128">
        <v>3000</v>
      </c>
      <c r="L151" s="128">
        <v>3048</v>
      </c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</row>
    <row r="152" ht="19.5" customHeight="1" spans="1:22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 t="s">
        <v>599</v>
      </c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</row>
    <row r="153" ht="19.5" customHeight="1" spans="1:22">
      <c r="A153" s="124"/>
      <c r="B153" s="124"/>
      <c r="C153" s="124"/>
      <c r="D153" s="124"/>
      <c r="E153" s="124"/>
      <c r="F153" s="124"/>
      <c r="G153" s="124"/>
      <c r="H153" s="124"/>
      <c r="I153" s="124" t="s">
        <v>601</v>
      </c>
      <c r="J153" s="124" t="s">
        <v>598</v>
      </c>
      <c r="K153" s="128"/>
      <c r="L153" s="128">
        <v>3000</v>
      </c>
      <c r="M153" s="128">
        <v>3048</v>
      </c>
      <c r="N153" s="128"/>
      <c r="O153" s="128"/>
      <c r="P153" s="128"/>
      <c r="Q153" s="128"/>
      <c r="R153" s="128"/>
      <c r="S153" s="128"/>
      <c r="T153" s="128"/>
      <c r="U153" s="128"/>
      <c r="V153" s="128"/>
    </row>
    <row r="154" ht="19.5" customHeight="1" spans="1:22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 t="s">
        <v>599</v>
      </c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</row>
    <row r="155" ht="19.5" customHeight="1" spans="1:22">
      <c r="A155" s="124"/>
      <c r="B155" s="124"/>
      <c r="C155" s="124"/>
      <c r="D155" s="124"/>
      <c r="E155" s="124"/>
      <c r="F155" s="124"/>
      <c r="G155" s="124"/>
      <c r="H155" s="124"/>
      <c r="I155" s="124" t="s">
        <v>602</v>
      </c>
      <c r="J155" s="124" t="s">
        <v>598</v>
      </c>
      <c r="K155" s="128"/>
      <c r="L155" s="128"/>
      <c r="M155" s="128">
        <v>3000</v>
      </c>
      <c r="N155" s="128">
        <v>3048</v>
      </c>
      <c r="O155" s="128"/>
      <c r="P155" s="128"/>
      <c r="Q155" s="128"/>
      <c r="R155" s="128"/>
      <c r="S155" s="128"/>
      <c r="T155" s="128"/>
      <c r="U155" s="128"/>
      <c r="V155" s="128"/>
    </row>
    <row r="156" ht="19.5" customHeight="1" spans="1:22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 t="s">
        <v>599</v>
      </c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</row>
    <row r="157" ht="19.5" customHeight="1" spans="1:22">
      <c r="A157" s="124"/>
      <c r="B157" s="124"/>
      <c r="C157" s="124"/>
      <c r="D157" s="124" t="s">
        <v>147</v>
      </c>
      <c r="E157" s="124">
        <v>26106</v>
      </c>
      <c r="F157" s="127" t="s">
        <v>60</v>
      </c>
      <c r="G157" s="127"/>
      <c r="H157" s="127"/>
      <c r="I157" s="124" t="s">
        <v>597</v>
      </c>
      <c r="J157" s="124" t="s">
        <v>598</v>
      </c>
      <c r="K157" s="128"/>
      <c r="L157" s="128"/>
      <c r="N157" s="128">
        <v>6000</v>
      </c>
      <c r="O157" s="128">
        <v>6000</v>
      </c>
      <c r="P157" s="128">
        <v>6000</v>
      </c>
      <c r="Q157" s="128">
        <v>6000</v>
      </c>
      <c r="R157" s="128">
        <v>2106</v>
      </c>
      <c r="S157" s="132"/>
      <c r="T157" s="132"/>
      <c r="U157" s="132"/>
      <c r="V157" s="132"/>
    </row>
    <row r="158" ht="19.5" customHeight="1" spans="1:22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 t="s">
        <v>599</v>
      </c>
      <c r="K158" s="128"/>
      <c r="L158" s="128"/>
      <c r="M158" s="128"/>
      <c r="N158" s="128"/>
      <c r="O158" s="128"/>
      <c r="P158" s="128"/>
      <c r="Q158" s="128"/>
      <c r="R158" s="128"/>
      <c r="S158" s="132"/>
      <c r="T158" s="132"/>
      <c r="U158" s="132"/>
      <c r="V158" s="132"/>
    </row>
    <row r="159" ht="19.5" customHeight="1" spans="1:22">
      <c r="A159" s="124"/>
      <c r="B159" s="124"/>
      <c r="C159" s="124"/>
      <c r="D159" s="124"/>
      <c r="E159" s="124"/>
      <c r="F159" s="124"/>
      <c r="G159" s="124"/>
      <c r="H159" s="124"/>
      <c r="I159" s="124" t="s">
        <v>600</v>
      </c>
      <c r="J159" s="124" t="s">
        <v>598</v>
      </c>
      <c r="K159" s="128"/>
      <c r="L159" s="128"/>
      <c r="M159" s="128"/>
      <c r="O159" s="128">
        <v>6000</v>
      </c>
      <c r="P159" s="128">
        <v>6000</v>
      </c>
      <c r="Q159" s="128">
        <v>6000</v>
      </c>
      <c r="R159" s="128">
        <v>6000</v>
      </c>
      <c r="S159" s="128">
        <v>2106</v>
      </c>
      <c r="T159" s="132"/>
      <c r="U159" s="132"/>
      <c r="V159" s="132"/>
    </row>
    <row r="160" ht="19.5" customHeight="1" spans="1:22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 t="s">
        <v>599</v>
      </c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</row>
    <row r="161" ht="19.5" customHeight="1" spans="1:22">
      <c r="A161" s="124"/>
      <c r="B161" s="124"/>
      <c r="C161" s="124"/>
      <c r="D161" s="124"/>
      <c r="E161" s="124"/>
      <c r="F161" s="124"/>
      <c r="G161" s="124"/>
      <c r="H161" s="124"/>
      <c r="I161" s="124" t="s">
        <v>601</v>
      </c>
      <c r="J161" s="124" t="s">
        <v>598</v>
      </c>
      <c r="K161" s="128"/>
      <c r="L161" s="128"/>
      <c r="M161" s="128"/>
      <c r="N161" s="128"/>
      <c r="O161" s="128"/>
      <c r="P161" s="128">
        <v>3000</v>
      </c>
      <c r="Q161" s="128">
        <v>3000</v>
      </c>
      <c r="R161" s="128">
        <v>3000</v>
      </c>
      <c r="S161" s="128">
        <v>3000</v>
      </c>
      <c r="T161" s="128">
        <v>3000</v>
      </c>
      <c r="U161" s="128">
        <v>3000</v>
      </c>
      <c r="V161" s="128">
        <v>3000</v>
      </c>
    </row>
    <row r="162" ht="19.5" customHeight="1" spans="1:22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 t="s">
        <v>599</v>
      </c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</row>
    <row r="163" ht="19.5" customHeight="1" spans="1:22">
      <c r="A163" s="124"/>
      <c r="B163" s="124"/>
      <c r="C163" s="124"/>
      <c r="D163" s="124" t="s">
        <v>148</v>
      </c>
      <c r="E163" s="124">
        <v>2026</v>
      </c>
      <c r="F163" s="125" t="s">
        <v>60</v>
      </c>
      <c r="G163" s="125"/>
      <c r="H163" s="125"/>
      <c r="I163" s="124" t="s">
        <v>597</v>
      </c>
      <c r="J163" s="124" t="s">
        <v>598</v>
      </c>
      <c r="K163" s="128"/>
      <c r="L163" s="128"/>
      <c r="M163" s="128"/>
      <c r="N163" s="128"/>
      <c r="O163" s="128"/>
      <c r="P163" s="128">
        <v>2026</v>
      </c>
      <c r="Q163" s="128"/>
      <c r="R163" s="128"/>
      <c r="S163" s="128"/>
      <c r="T163" s="128"/>
      <c r="U163" s="128"/>
      <c r="V163" s="128"/>
    </row>
    <row r="164" ht="19.5" customHeight="1" spans="1:22">
      <c r="A164" s="124"/>
      <c r="B164" s="124"/>
      <c r="C164" s="124"/>
      <c r="D164" s="124"/>
      <c r="E164" s="124"/>
      <c r="F164" s="126"/>
      <c r="G164" s="126"/>
      <c r="H164" s="126"/>
      <c r="I164" s="124"/>
      <c r="J164" s="124" t="s">
        <v>599</v>
      </c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</row>
    <row r="165" ht="19.5" customHeight="1" spans="1:22">
      <c r="A165" s="124"/>
      <c r="B165" s="124"/>
      <c r="C165" s="124"/>
      <c r="D165" s="124"/>
      <c r="E165" s="124"/>
      <c r="F165" s="126"/>
      <c r="G165" s="126"/>
      <c r="H165" s="126"/>
      <c r="I165" s="124" t="s">
        <v>600</v>
      </c>
      <c r="J165" s="124" t="s">
        <v>598</v>
      </c>
      <c r="K165" s="128"/>
      <c r="L165" s="128"/>
      <c r="M165" s="128"/>
      <c r="N165" s="128"/>
      <c r="O165" s="128"/>
      <c r="P165" s="128"/>
      <c r="Q165" s="128">
        <v>2026</v>
      </c>
      <c r="R165" s="128"/>
      <c r="S165" s="128"/>
      <c r="T165" s="128"/>
      <c r="U165" s="128"/>
      <c r="V165" s="128"/>
    </row>
    <row r="166" ht="19.5" customHeight="1" spans="1:22">
      <c r="A166" s="124"/>
      <c r="B166" s="124"/>
      <c r="C166" s="124"/>
      <c r="D166" s="124"/>
      <c r="E166" s="124"/>
      <c r="F166" s="126"/>
      <c r="G166" s="126"/>
      <c r="H166" s="126"/>
      <c r="I166" s="124"/>
      <c r="J166" s="124" t="s">
        <v>599</v>
      </c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</row>
    <row r="167" ht="19.5" customHeight="1" spans="1:22">
      <c r="A167" s="124"/>
      <c r="B167" s="124"/>
      <c r="C167" s="124"/>
      <c r="D167" s="124"/>
      <c r="E167" s="124"/>
      <c r="F167" s="126"/>
      <c r="G167" s="126"/>
      <c r="H167" s="126"/>
      <c r="I167" s="124" t="s">
        <v>601</v>
      </c>
      <c r="J167" s="124" t="s">
        <v>598</v>
      </c>
      <c r="K167" s="128"/>
      <c r="L167" s="128"/>
      <c r="M167" s="128"/>
      <c r="N167" s="128"/>
      <c r="O167" s="128"/>
      <c r="P167" s="128"/>
      <c r="Q167" s="128"/>
      <c r="R167" s="128">
        <v>2026</v>
      </c>
      <c r="S167" s="128"/>
      <c r="T167" s="128"/>
      <c r="U167" s="128"/>
      <c r="V167" s="128"/>
    </row>
    <row r="168" ht="19.5" customHeight="1" spans="1:22">
      <c r="A168" s="124"/>
      <c r="B168" s="124"/>
      <c r="C168" s="124"/>
      <c r="D168" s="124"/>
      <c r="E168" s="124"/>
      <c r="F168" s="126"/>
      <c r="G168" s="126"/>
      <c r="H168" s="126"/>
      <c r="I168" s="124"/>
      <c r="J168" s="124" t="s">
        <v>599</v>
      </c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</row>
    <row r="169" ht="19.5" customHeight="1" spans="1:22">
      <c r="A169" s="124"/>
      <c r="B169" s="124"/>
      <c r="C169" s="124"/>
      <c r="D169" s="124" t="s">
        <v>149</v>
      </c>
      <c r="E169" s="124">
        <v>3260</v>
      </c>
      <c r="F169" s="129" t="s">
        <v>60</v>
      </c>
      <c r="G169" s="129"/>
      <c r="H169" s="129"/>
      <c r="I169" s="124" t="s">
        <v>597</v>
      </c>
      <c r="J169" s="124" t="s">
        <v>598</v>
      </c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</row>
    <row r="170" ht="19.5" customHeight="1" spans="1:22">
      <c r="A170" s="124"/>
      <c r="B170" s="124"/>
      <c r="C170" s="124"/>
      <c r="D170" s="124"/>
      <c r="E170" s="124"/>
      <c r="F170" s="130"/>
      <c r="G170" s="130"/>
      <c r="H170" s="130"/>
      <c r="I170" s="124"/>
      <c r="J170" s="124" t="s">
        <v>599</v>
      </c>
      <c r="K170" s="128"/>
      <c r="L170" s="128"/>
      <c r="M170" s="128"/>
      <c r="N170" s="128"/>
      <c r="O170" s="128"/>
      <c r="P170" s="128"/>
      <c r="Q170" s="128"/>
      <c r="R170" s="128">
        <v>3260</v>
      </c>
      <c r="S170" s="128"/>
      <c r="T170" s="128"/>
      <c r="U170" s="128"/>
      <c r="V170" s="128"/>
    </row>
    <row r="171" ht="19.5" customHeight="1" spans="1:22">
      <c r="A171" s="124"/>
      <c r="B171" s="124"/>
      <c r="C171" s="124"/>
      <c r="D171" s="124"/>
      <c r="E171" s="124"/>
      <c r="F171" s="130"/>
      <c r="G171" s="130"/>
      <c r="H171" s="130"/>
      <c r="I171" s="124" t="s">
        <v>600</v>
      </c>
      <c r="J171" s="124" t="s">
        <v>598</v>
      </c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</row>
    <row r="172" ht="19.5" customHeight="1" spans="1:22">
      <c r="A172" s="124"/>
      <c r="B172" s="124"/>
      <c r="C172" s="124"/>
      <c r="D172" s="124"/>
      <c r="E172" s="124"/>
      <c r="F172" s="130"/>
      <c r="G172" s="130"/>
      <c r="H172" s="130"/>
      <c r="I172" s="124"/>
      <c r="J172" s="124" t="s">
        <v>599</v>
      </c>
      <c r="K172" s="128"/>
      <c r="L172" s="128"/>
      <c r="M172" s="128"/>
      <c r="N172" s="128"/>
      <c r="O172" s="128"/>
      <c r="P172" s="128"/>
      <c r="Q172" s="128"/>
      <c r="R172" s="128"/>
      <c r="S172" s="128">
        <v>3260</v>
      </c>
      <c r="T172" s="128"/>
      <c r="U172" s="128"/>
      <c r="V172" s="128"/>
    </row>
    <row r="173" ht="19.5" customHeight="1" spans="1:22">
      <c r="A173" s="124"/>
      <c r="B173" s="124"/>
      <c r="C173" s="124"/>
      <c r="D173" s="124"/>
      <c r="E173" s="124"/>
      <c r="F173" s="130"/>
      <c r="G173" s="130"/>
      <c r="H173" s="130"/>
      <c r="I173" s="124" t="s">
        <v>601</v>
      </c>
      <c r="J173" s="124" t="s">
        <v>598</v>
      </c>
      <c r="K173" s="128"/>
      <c r="L173" s="128"/>
      <c r="M173" s="128"/>
      <c r="N173" s="128"/>
      <c r="O173" s="128"/>
      <c r="P173" s="128"/>
      <c r="Q173" s="128"/>
      <c r="R173" s="128"/>
      <c r="S173" s="128"/>
      <c r="T173" s="128">
        <v>1500</v>
      </c>
      <c r="U173" s="128">
        <v>1760</v>
      </c>
      <c r="V173" s="128"/>
    </row>
    <row r="174" ht="19.5" customHeight="1" spans="1:22">
      <c r="A174" s="124"/>
      <c r="B174" s="124"/>
      <c r="C174" s="124"/>
      <c r="D174" s="124"/>
      <c r="E174" s="124"/>
      <c r="F174" s="130"/>
      <c r="G174" s="130"/>
      <c r="H174" s="130"/>
      <c r="I174" s="124"/>
      <c r="J174" s="124" t="s">
        <v>599</v>
      </c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</row>
    <row r="175" ht="19.5" customHeight="1" spans="1:22">
      <c r="A175" s="124"/>
      <c r="B175" s="124"/>
      <c r="C175" s="124"/>
      <c r="D175" s="124"/>
      <c r="E175" s="124"/>
      <c r="F175" s="130"/>
      <c r="G175" s="130"/>
      <c r="H175" s="130"/>
      <c r="I175" s="124" t="s">
        <v>602</v>
      </c>
      <c r="J175" s="124" t="s">
        <v>598</v>
      </c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>
        <v>1500</v>
      </c>
      <c r="V175" s="128">
        <v>1760</v>
      </c>
    </row>
    <row r="176" ht="19.5" customHeight="1" spans="1:22">
      <c r="A176" s="124"/>
      <c r="B176" s="124"/>
      <c r="C176" s="124"/>
      <c r="D176" s="124"/>
      <c r="E176" s="124"/>
      <c r="F176" s="131"/>
      <c r="G176" s="131"/>
      <c r="H176" s="131"/>
      <c r="I176" s="124"/>
      <c r="J176" s="124" t="s">
        <v>599</v>
      </c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</row>
    <row r="177" ht="19.5" customHeight="1" spans="1:22">
      <c r="A177" s="124"/>
      <c r="B177" s="124"/>
      <c r="C177" s="124"/>
      <c r="D177" s="124" t="s">
        <v>150</v>
      </c>
      <c r="E177" s="124">
        <v>21000</v>
      </c>
      <c r="F177" s="127" t="s">
        <v>60</v>
      </c>
      <c r="G177" s="127"/>
      <c r="H177" s="127"/>
      <c r="I177" s="124" t="s">
        <v>597</v>
      </c>
      <c r="J177" s="124" t="s">
        <v>598</v>
      </c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</row>
    <row r="178" ht="19.5" customHeight="1" spans="1:22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 t="s">
        <v>599</v>
      </c>
      <c r="K178" s="128" t="s">
        <v>605</v>
      </c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</row>
    <row r="179" ht="19.5" customHeight="1" spans="1:22">
      <c r="A179" s="124"/>
      <c r="B179" s="124"/>
      <c r="C179" s="124"/>
      <c r="D179" s="124"/>
      <c r="E179" s="124"/>
      <c r="F179" s="124"/>
      <c r="G179" s="124"/>
      <c r="H179" s="124"/>
      <c r="I179" s="124" t="s">
        <v>600</v>
      </c>
      <c r="J179" s="124" t="s">
        <v>598</v>
      </c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</row>
    <row r="180" ht="19.5" customHeight="1" spans="1:22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 t="s">
        <v>599</v>
      </c>
      <c r="K180" s="128" t="s">
        <v>605</v>
      </c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</row>
    <row r="181" ht="19.5" customHeight="1" spans="1:22">
      <c r="A181" s="124"/>
      <c r="B181" s="124"/>
      <c r="C181" s="124"/>
      <c r="D181" s="124"/>
      <c r="E181" s="124"/>
      <c r="F181" s="124"/>
      <c r="G181" s="124"/>
      <c r="H181" s="124"/>
      <c r="I181" s="124" t="s">
        <v>601</v>
      </c>
      <c r="J181" s="124" t="s">
        <v>598</v>
      </c>
      <c r="K181" s="128">
        <v>4000</v>
      </c>
      <c r="L181" s="128">
        <v>4000</v>
      </c>
      <c r="M181" s="128">
        <v>4000</v>
      </c>
      <c r="N181" s="128">
        <v>4000</v>
      </c>
      <c r="O181" s="128">
        <v>5000</v>
      </c>
      <c r="P181" s="128"/>
      <c r="Q181" s="128"/>
      <c r="R181" s="128"/>
      <c r="S181" s="128"/>
      <c r="T181" s="128"/>
      <c r="U181" s="128"/>
      <c r="V181" s="128"/>
    </row>
    <row r="182" ht="19.5" customHeight="1" spans="1:22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 t="s">
        <v>599</v>
      </c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</row>
    <row r="183" ht="19.5" customHeight="1" spans="1:22">
      <c r="A183" s="124"/>
      <c r="B183" s="124"/>
      <c r="C183" s="124"/>
      <c r="D183" s="124"/>
      <c r="E183" s="124"/>
      <c r="F183" s="124"/>
      <c r="G183" s="124"/>
      <c r="H183" s="124"/>
      <c r="I183" s="124" t="s">
        <v>602</v>
      </c>
      <c r="J183" s="124" t="s">
        <v>598</v>
      </c>
      <c r="K183" s="128"/>
      <c r="L183" s="128">
        <v>4000</v>
      </c>
      <c r="M183" s="128">
        <v>4000</v>
      </c>
      <c r="N183" s="128">
        <v>4000</v>
      </c>
      <c r="O183" s="128">
        <v>4000</v>
      </c>
      <c r="P183" s="128">
        <v>5000</v>
      </c>
      <c r="Q183" s="128"/>
      <c r="R183" s="128"/>
      <c r="S183" s="128"/>
      <c r="T183" s="128"/>
      <c r="U183" s="128"/>
      <c r="V183" s="128"/>
    </row>
    <row r="184" ht="19.5" customHeight="1" spans="1:22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 t="s">
        <v>599</v>
      </c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</row>
    <row r="185" ht="19.5" customHeight="1" spans="1:22">
      <c r="A185" s="124"/>
      <c r="B185" s="124"/>
      <c r="C185" s="124"/>
      <c r="D185" s="124" t="s">
        <v>151</v>
      </c>
      <c r="E185" s="124">
        <v>3251</v>
      </c>
      <c r="F185" s="127" t="s">
        <v>60</v>
      </c>
      <c r="G185" s="127"/>
      <c r="H185" s="127"/>
      <c r="I185" s="124" t="s">
        <v>597</v>
      </c>
      <c r="J185" s="124" t="s">
        <v>598</v>
      </c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</row>
    <row r="186" ht="19.5" customHeight="1" spans="1:22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 t="s">
        <v>599</v>
      </c>
      <c r="K186" s="128" t="s">
        <v>605</v>
      </c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</row>
    <row r="187" ht="19.5" customHeight="1" spans="1:22">
      <c r="A187" s="124"/>
      <c r="B187" s="124"/>
      <c r="C187" s="124"/>
      <c r="D187" s="124"/>
      <c r="E187" s="124"/>
      <c r="F187" s="124"/>
      <c r="G187" s="124"/>
      <c r="H187" s="124"/>
      <c r="I187" s="124" t="s">
        <v>600</v>
      </c>
      <c r="J187" s="124" t="s">
        <v>598</v>
      </c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</row>
    <row r="188" ht="19.5" customHeight="1" spans="1:22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 t="s">
        <v>599</v>
      </c>
      <c r="K188" s="128" t="s">
        <v>605</v>
      </c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</row>
    <row r="189" ht="19.5" customHeight="1" spans="1:22">
      <c r="A189" s="124"/>
      <c r="B189" s="124"/>
      <c r="C189" s="124"/>
      <c r="D189" s="124"/>
      <c r="E189" s="124"/>
      <c r="F189" s="124"/>
      <c r="G189" s="124"/>
      <c r="H189" s="124"/>
      <c r="I189" s="124" t="s">
        <v>601</v>
      </c>
      <c r="J189" s="124" t="s">
        <v>598</v>
      </c>
      <c r="K189" s="128"/>
      <c r="L189" s="128">
        <v>1600</v>
      </c>
      <c r="M189" s="128">
        <v>1651</v>
      </c>
      <c r="N189" s="128"/>
      <c r="O189" s="128"/>
      <c r="P189" s="128"/>
      <c r="Q189" s="128"/>
      <c r="R189" s="128"/>
      <c r="S189" s="128"/>
      <c r="T189" s="128"/>
      <c r="U189" s="128"/>
      <c r="V189" s="128"/>
    </row>
    <row r="190" ht="19.5" customHeight="1" spans="1:22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 t="s">
        <v>599</v>
      </c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</row>
    <row r="191" ht="19.5" customHeight="1" spans="1:22">
      <c r="A191" s="124"/>
      <c r="B191" s="124"/>
      <c r="C191" s="124"/>
      <c r="D191" s="124" t="s">
        <v>153</v>
      </c>
      <c r="E191" s="124">
        <v>10242</v>
      </c>
      <c r="F191" s="127" t="s">
        <v>60</v>
      </c>
      <c r="G191" s="127"/>
      <c r="H191" s="127"/>
      <c r="I191" s="124" t="s">
        <v>597</v>
      </c>
      <c r="J191" s="124" t="s">
        <v>598</v>
      </c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</row>
    <row r="192" ht="19.5" customHeight="1" spans="1:22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 t="s">
        <v>599</v>
      </c>
      <c r="K192" s="128" t="s">
        <v>605</v>
      </c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</row>
    <row r="193" ht="19.5" customHeight="1" spans="1:22">
      <c r="A193" s="124"/>
      <c r="B193" s="124"/>
      <c r="C193" s="124"/>
      <c r="D193" s="124"/>
      <c r="E193" s="124"/>
      <c r="F193" s="124"/>
      <c r="G193" s="124"/>
      <c r="H193" s="124"/>
      <c r="I193" s="124" t="s">
        <v>600</v>
      </c>
      <c r="J193" s="124" t="s">
        <v>598</v>
      </c>
      <c r="K193" s="128"/>
      <c r="L193" s="128">
        <v>3000</v>
      </c>
      <c r="M193" s="128">
        <v>2000</v>
      </c>
      <c r="N193" s="128"/>
      <c r="O193" s="128"/>
      <c r="P193" s="128"/>
      <c r="Q193" s="128"/>
      <c r="R193" s="128"/>
      <c r="S193" s="128"/>
      <c r="T193" s="128"/>
      <c r="U193" s="128"/>
      <c r="V193" s="128"/>
    </row>
    <row r="194" ht="19.5" customHeight="1" spans="1:22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 t="s">
        <v>599</v>
      </c>
      <c r="K194" s="128">
        <v>5242</v>
      </c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</row>
    <row r="195" ht="19.5" customHeight="1" spans="1:22">
      <c r="A195" s="124"/>
      <c r="B195" s="124"/>
      <c r="C195" s="124"/>
      <c r="D195" s="124"/>
      <c r="E195" s="124"/>
      <c r="F195" s="124"/>
      <c r="G195" s="124"/>
      <c r="H195" s="124"/>
      <c r="I195" s="124" t="s">
        <v>601</v>
      </c>
      <c r="J195" s="124" t="s">
        <v>598</v>
      </c>
      <c r="K195" s="128"/>
      <c r="L195" s="128">
        <v>2000</v>
      </c>
      <c r="M195" s="128">
        <v>2000</v>
      </c>
      <c r="N195" s="128">
        <v>2000</v>
      </c>
      <c r="O195" s="128">
        <v>2000</v>
      </c>
      <c r="P195" s="128">
        <v>2242</v>
      </c>
      <c r="Q195" s="128"/>
      <c r="R195" s="128"/>
      <c r="S195" s="128"/>
      <c r="T195" s="128"/>
      <c r="U195" s="128"/>
      <c r="V195" s="128"/>
    </row>
    <row r="196" ht="19.5" customHeight="1" spans="1:22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 t="s">
        <v>599</v>
      </c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</row>
    <row r="197" ht="19.5" customHeight="1" spans="1:22">
      <c r="A197" s="124"/>
      <c r="B197" s="124"/>
      <c r="C197" s="124"/>
      <c r="D197" s="124" t="s">
        <v>349</v>
      </c>
      <c r="E197" s="124">
        <v>6800</v>
      </c>
      <c r="F197" s="125" t="s">
        <v>60</v>
      </c>
      <c r="G197" s="125"/>
      <c r="H197" s="125"/>
      <c r="I197" s="124" t="s">
        <v>597</v>
      </c>
      <c r="J197" s="124" t="s">
        <v>598</v>
      </c>
      <c r="K197" s="128"/>
      <c r="L197" s="128"/>
      <c r="M197" s="135"/>
      <c r="N197" s="132"/>
      <c r="O197" s="132"/>
      <c r="P197" s="128">
        <v>3000</v>
      </c>
      <c r="Q197" s="128">
        <v>3800</v>
      </c>
      <c r="R197" s="128"/>
      <c r="S197" s="128"/>
      <c r="T197" s="128"/>
      <c r="U197" s="128"/>
      <c r="V197" s="128"/>
    </row>
    <row r="198" ht="19.5" customHeight="1" spans="1:22">
      <c r="A198" s="124"/>
      <c r="B198" s="124"/>
      <c r="C198" s="124"/>
      <c r="D198" s="124"/>
      <c r="E198" s="124"/>
      <c r="F198" s="126"/>
      <c r="G198" s="126"/>
      <c r="H198" s="126"/>
      <c r="I198" s="124"/>
      <c r="J198" s="124" t="s">
        <v>599</v>
      </c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</row>
    <row r="199" ht="19.5" customHeight="1" spans="1:22">
      <c r="A199" s="124"/>
      <c r="B199" s="124"/>
      <c r="C199" s="124"/>
      <c r="D199" s="124"/>
      <c r="E199" s="124"/>
      <c r="F199" s="126"/>
      <c r="G199" s="126"/>
      <c r="H199" s="126"/>
      <c r="I199" s="124" t="s">
        <v>600</v>
      </c>
      <c r="J199" s="124" t="s">
        <v>598</v>
      </c>
      <c r="K199" s="128"/>
      <c r="L199" s="128"/>
      <c r="N199" s="132"/>
      <c r="O199" s="132"/>
      <c r="P199" s="132"/>
      <c r="Q199" s="128">
        <v>2000</v>
      </c>
      <c r="R199" s="128">
        <v>2000</v>
      </c>
      <c r="S199" s="128">
        <v>2000</v>
      </c>
      <c r="T199" s="128">
        <v>800</v>
      </c>
      <c r="U199" s="128"/>
      <c r="V199" s="128"/>
    </row>
    <row r="200" ht="19.5" customHeight="1" spans="1:22">
      <c r="A200" s="124"/>
      <c r="B200" s="124"/>
      <c r="C200" s="124"/>
      <c r="D200" s="124"/>
      <c r="E200" s="124"/>
      <c r="F200" s="126"/>
      <c r="G200" s="126"/>
      <c r="H200" s="126"/>
      <c r="I200" s="124"/>
      <c r="J200" s="124" t="s">
        <v>599</v>
      </c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</row>
    <row r="201" ht="19.5" customHeight="1" spans="1:22">
      <c r="A201" s="124"/>
      <c r="B201" s="124"/>
      <c r="C201" s="124"/>
      <c r="D201" s="124" t="s">
        <v>158</v>
      </c>
      <c r="E201" s="124">
        <v>55020</v>
      </c>
      <c r="F201" s="127" t="s">
        <v>60</v>
      </c>
      <c r="G201" s="127"/>
      <c r="H201" s="127"/>
      <c r="I201" s="124" t="s">
        <v>597</v>
      </c>
      <c r="J201" s="124" t="s">
        <v>598</v>
      </c>
      <c r="K201" s="128"/>
      <c r="L201" s="128"/>
      <c r="M201" s="135"/>
      <c r="N201" s="128"/>
      <c r="O201" s="128"/>
      <c r="P201" s="128"/>
      <c r="Q201" s="128"/>
      <c r="R201" s="128"/>
      <c r="S201" s="128"/>
      <c r="T201" s="128">
        <v>6000</v>
      </c>
      <c r="U201" s="128">
        <v>6000</v>
      </c>
      <c r="V201" s="128">
        <v>6000</v>
      </c>
    </row>
    <row r="202" ht="19.5" customHeight="1" spans="1:22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 t="s">
        <v>599</v>
      </c>
      <c r="K202" s="128" t="s">
        <v>605</v>
      </c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</row>
    <row r="203" ht="19.5" customHeight="1" spans="1:22">
      <c r="A203" s="124"/>
      <c r="B203" s="124"/>
      <c r="C203" s="124"/>
      <c r="D203" s="124"/>
      <c r="E203" s="124"/>
      <c r="F203" s="124"/>
      <c r="G203" s="124"/>
      <c r="H203" s="124"/>
      <c r="I203" s="124" t="s">
        <v>600</v>
      </c>
      <c r="J203" s="124" t="s">
        <v>598</v>
      </c>
      <c r="K203" s="128"/>
      <c r="L203" s="128">
        <v>3000</v>
      </c>
      <c r="M203" s="128">
        <v>3000</v>
      </c>
      <c r="N203" s="128">
        <v>3000</v>
      </c>
      <c r="O203" s="128">
        <v>3000</v>
      </c>
      <c r="P203" s="128">
        <v>3000</v>
      </c>
      <c r="Q203" s="128">
        <v>3000</v>
      </c>
      <c r="R203" s="128">
        <v>3000</v>
      </c>
      <c r="S203" s="128">
        <v>3000</v>
      </c>
      <c r="T203" s="128">
        <v>3000</v>
      </c>
      <c r="U203" s="128">
        <v>3000</v>
      </c>
      <c r="V203" s="128">
        <v>3000</v>
      </c>
    </row>
    <row r="204" ht="19.5" customHeight="1" spans="1:22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 t="s">
        <v>599</v>
      </c>
      <c r="K204" s="128">
        <v>25020</v>
      </c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</row>
    <row r="205" ht="19.5" customHeight="1" spans="1:22">
      <c r="A205" s="124"/>
      <c r="B205" s="124"/>
      <c r="C205" s="124"/>
      <c r="D205" s="124"/>
      <c r="E205" s="124"/>
      <c r="F205" s="124"/>
      <c r="G205" s="124"/>
      <c r="H205" s="124"/>
      <c r="I205" s="124" t="s">
        <v>601</v>
      </c>
      <c r="J205" s="124" t="s">
        <v>598</v>
      </c>
      <c r="K205" s="128"/>
      <c r="L205" s="128"/>
      <c r="M205" s="128"/>
      <c r="N205" s="128"/>
      <c r="O205" s="128"/>
      <c r="P205" s="128"/>
      <c r="Q205" s="128"/>
      <c r="R205" s="128">
        <v>3000</v>
      </c>
      <c r="S205" s="128">
        <v>3000</v>
      </c>
      <c r="T205" s="128">
        <v>3000</v>
      </c>
      <c r="U205" s="128">
        <v>3000</v>
      </c>
      <c r="V205" s="128">
        <v>3000</v>
      </c>
    </row>
    <row r="206" ht="19.5" customHeight="1" spans="1:22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 t="s">
        <v>599</v>
      </c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</row>
    <row r="207" ht="19.5" customHeight="1" spans="1:22">
      <c r="A207" s="124"/>
      <c r="B207" s="124"/>
      <c r="C207" s="124"/>
      <c r="D207" s="124" t="s">
        <v>348</v>
      </c>
      <c r="E207" s="124">
        <v>11500</v>
      </c>
      <c r="F207" s="127" t="s">
        <v>60</v>
      </c>
      <c r="G207" s="127"/>
      <c r="H207" s="127"/>
      <c r="I207" s="124" t="s">
        <v>597</v>
      </c>
      <c r="J207" s="124" t="s">
        <v>598</v>
      </c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</row>
    <row r="208" ht="19.5" customHeight="1" spans="1:22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 t="s">
        <v>599</v>
      </c>
      <c r="K208" s="128" t="s">
        <v>605</v>
      </c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</row>
    <row r="209" ht="19.5" customHeight="1" spans="1:22">
      <c r="A209" s="124"/>
      <c r="B209" s="124"/>
      <c r="C209" s="124"/>
      <c r="D209" s="124"/>
      <c r="E209" s="124"/>
      <c r="F209" s="124"/>
      <c r="G209" s="124"/>
      <c r="H209" s="124"/>
      <c r="I209" s="124" t="s">
        <v>600</v>
      </c>
      <c r="J209" s="124" t="s">
        <v>598</v>
      </c>
      <c r="K209" s="128"/>
      <c r="L209" s="128">
        <v>3000</v>
      </c>
      <c r="M209" s="128">
        <v>3000</v>
      </c>
      <c r="N209" s="128">
        <v>3000</v>
      </c>
      <c r="O209" s="128">
        <v>2500</v>
      </c>
      <c r="P209" s="128"/>
      <c r="Q209" s="128"/>
      <c r="R209" s="128"/>
      <c r="S209" s="128"/>
      <c r="T209" s="128"/>
      <c r="U209" s="128"/>
      <c r="V209" s="128"/>
    </row>
    <row r="210" ht="19.5" customHeight="1" spans="1:22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 t="s">
        <v>599</v>
      </c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</row>
    <row r="211" spans="1:22">
      <c r="A211" s="128">
        <v>2</v>
      </c>
      <c r="B211" s="128" t="s">
        <v>52</v>
      </c>
      <c r="C211" s="128" t="s">
        <v>27</v>
      </c>
      <c r="D211" s="124" t="s">
        <v>606</v>
      </c>
      <c r="E211" s="124">
        <v>235800</v>
      </c>
      <c r="F211" s="127" t="s">
        <v>60</v>
      </c>
      <c r="G211" s="127"/>
      <c r="H211" s="127"/>
      <c r="I211" s="124" t="s">
        <v>597</v>
      </c>
      <c r="J211" s="124" t="s">
        <v>598</v>
      </c>
      <c r="K211" s="128"/>
      <c r="L211" s="128">
        <v>6000</v>
      </c>
      <c r="M211" s="128">
        <v>6000</v>
      </c>
      <c r="N211" s="128">
        <v>6000</v>
      </c>
      <c r="O211" s="128">
        <v>6000</v>
      </c>
      <c r="P211" s="128">
        <v>6000</v>
      </c>
      <c r="Q211" s="128">
        <v>6000</v>
      </c>
      <c r="R211" s="128">
        <v>6000</v>
      </c>
      <c r="S211" s="128">
        <v>6000</v>
      </c>
      <c r="T211" s="128">
        <v>6000</v>
      </c>
      <c r="U211" s="128">
        <v>6000</v>
      </c>
      <c r="V211" s="128">
        <v>6000</v>
      </c>
    </row>
    <row r="212" spans="1:22">
      <c r="A212" s="128"/>
      <c r="B212" s="128"/>
      <c r="C212" s="128"/>
      <c r="D212" s="124"/>
      <c r="E212" s="124"/>
      <c r="F212" s="124"/>
      <c r="G212" s="124"/>
      <c r="H212" s="124"/>
      <c r="I212" s="124"/>
      <c r="J212" s="124" t="s">
        <v>599</v>
      </c>
      <c r="K212" s="128">
        <v>30000</v>
      </c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</row>
    <row r="213" spans="1:22">
      <c r="A213" s="128"/>
      <c r="B213" s="128"/>
      <c r="C213" s="128"/>
      <c r="D213" s="124"/>
      <c r="E213" s="124"/>
      <c r="F213" s="124"/>
      <c r="G213" s="124"/>
      <c r="H213" s="124"/>
      <c r="I213" s="124" t="s">
        <v>600</v>
      </c>
      <c r="J213" s="124" t="s">
        <v>598</v>
      </c>
      <c r="K213" s="128"/>
      <c r="L213" s="128">
        <v>3000</v>
      </c>
      <c r="M213" s="128">
        <v>3000</v>
      </c>
      <c r="N213" s="128">
        <v>3000</v>
      </c>
      <c r="O213" s="128">
        <v>3000</v>
      </c>
      <c r="P213" s="128">
        <v>3000</v>
      </c>
      <c r="Q213" s="128">
        <v>3000</v>
      </c>
      <c r="R213" s="128">
        <v>3000</v>
      </c>
      <c r="S213" s="128">
        <v>3000</v>
      </c>
      <c r="T213" s="128">
        <v>3000</v>
      </c>
      <c r="U213" s="128">
        <v>3000</v>
      </c>
      <c r="V213" s="128">
        <v>3000</v>
      </c>
    </row>
    <row r="214" spans="1:22">
      <c r="A214" s="128"/>
      <c r="B214" s="128"/>
      <c r="C214" s="128"/>
      <c r="D214" s="124"/>
      <c r="E214" s="124"/>
      <c r="F214" s="124"/>
      <c r="G214" s="124"/>
      <c r="H214" s="124"/>
      <c r="I214" s="124"/>
      <c r="J214" s="124" t="s">
        <v>599</v>
      </c>
      <c r="K214" s="128">
        <v>30000</v>
      </c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</row>
    <row r="215" spans="1:22">
      <c r="A215" s="128"/>
      <c r="B215" s="128"/>
      <c r="C215" s="128"/>
      <c r="D215" s="124"/>
      <c r="E215" s="124"/>
      <c r="F215" s="124"/>
      <c r="G215" s="124"/>
      <c r="H215" s="124"/>
      <c r="I215" s="124" t="s">
        <v>601</v>
      </c>
      <c r="J215" s="124" t="s">
        <v>598</v>
      </c>
      <c r="K215" s="128">
        <v>10000</v>
      </c>
      <c r="L215" s="128">
        <v>2000</v>
      </c>
      <c r="M215" s="128">
        <v>2000</v>
      </c>
      <c r="N215" s="128">
        <v>2000</v>
      </c>
      <c r="O215" s="128">
        <v>3000</v>
      </c>
      <c r="P215" s="128">
        <v>3000</v>
      </c>
      <c r="Q215" s="128">
        <v>3000</v>
      </c>
      <c r="R215" s="128">
        <v>4000</v>
      </c>
      <c r="S215" s="128">
        <v>4000</v>
      </c>
      <c r="T215" s="128">
        <v>4000</v>
      </c>
      <c r="U215" s="128">
        <v>5000</v>
      </c>
      <c r="V215" s="128">
        <v>5000</v>
      </c>
    </row>
    <row r="216" spans="1:22">
      <c r="A216" s="128"/>
      <c r="B216" s="128"/>
      <c r="C216" s="128"/>
      <c r="D216" s="124"/>
      <c r="E216" s="124"/>
      <c r="F216" s="124"/>
      <c r="G216" s="124"/>
      <c r="H216" s="124"/>
      <c r="I216" s="124"/>
      <c r="J216" s="124" t="s">
        <v>599</v>
      </c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</row>
    <row r="217" spans="1:22">
      <c r="A217" s="133">
        <v>3</v>
      </c>
      <c r="B217" s="133" t="s">
        <v>35</v>
      </c>
      <c r="C217" s="133" t="s">
        <v>27</v>
      </c>
      <c r="D217" s="124" t="s">
        <v>106</v>
      </c>
      <c r="E217" s="124">
        <v>4500</v>
      </c>
      <c r="F217" s="127" t="s">
        <v>60</v>
      </c>
      <c r="G217" s="127"/>
      <c r="H217" s="127"/>
      <c r="I217" s="124" t="s">
        <v>597</v>
      </c>
      <c r="J217" s="124" t="s">
        <v>598</v>
      </c>
      <c r="K217" s="128"/>
      <c r="L217" s="128"/>
      <c r="M217" s="128">
        <v>4500</v>
      </c>
      <c r="N217" s="128"/>
      <c r="O217" s="128"/>
      <c r="P217" s="128"/>
      <c r="Q217" s="128"/>
      <c r="R217" s="128"/>
      <c r="S217" s="128"/>
      <c r="T217" s="128"/>
      <c r="U217" s="128"/>
      <c r="V217" s="128"/>
    </row>
    <row r="218" spans="1:22">
      <c r="A218" s="134"/>
      <c r="B218" s="134"/>
      <c r="C218" s="134"/>
      <c r="D218" s="124"/>
      <c r="E218" s="124"/>
      <c r="F218" s="124"/>
      <c r="G218" s="124"/>
      <c r="H218" s="124"/>
      <c r="I218" s="124"/>
      <c r="J218" s="124" t="s">
        <v>599</v>
      </c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</row>
    <row r="219" spans="1:22">
      <c r="A219" s="134"/>
      <c r="B219" s="134"/>
      <c r="C219" s="134"/>
      <c r="D219" s="124"/>
      <c r="E219" s="124"/>
      <c r="F219" s="124"/>
      <c r="G219" s="124"/>
      <c r="H219" s="124"/>
      <c r="I219" s="124" t="s">
        <v>600</v>
      </c>
      <c r="J219" s="124" t="s">
        <v>598</v>
      </c>
      <c r="K219" s="128"/>
      <c r="L219" s="128"/>
      <c r="M219" s="128"/>
      <c r="N219" s="128">
        <v>4500</v>
      </c>
      <c r="O219" s="128"/>
      <c r="P219" s="128"/>
      <c r="Q219" s="128"/>
      <c r="R219" s="128"/>
      <c r="S219" s="128"/>
      <c r="T219" s="128"/>
      <c r="U219" s="128"/>
      <c r="V219" s="128"/>
    </row>
    <row r="220" spans="1:22">
      <c r="A220" s="134"/>
      <c r="B220" s="134"/>
      <c r="C220" s="134"/>
      <c r="D220" s="124"/>
      <c r="E220" s="124"/>
      <c r="F220" s="124"/>
      <c r="G220" s="124"/>
      <c r="H220" s="124"/>
      <c r="I220" s="124"/>
      <c r="J220" s="124" t="s">
        <v>599</v>
      </c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</row>
    <row r="221" spans="1:22">
      <c r="A221" s="134"/>
      <c r="B221" s="134"/>
      <c r="C221" s="134"/>
      <c r="D221" s="124"/>
      <c r="E221" s="124"/>
      <c r="F221" s="124"/>
      <c r="G221" s="124"/>
      <c r="H221" s="124"/>
      <c r="I221" s="124" t="s">
        <v>601</v>
      </c>
      <c r="J221" s="124" t="s">
        <v>598</v>
      </c>
      <c r="K221" s="128"/>
      <c r="L221" s="128"/>
      <c r="M221" s="128"/>
      <c r="N221" s="128"/>
      <c r="O221" s="128">
        <v>1500</v>
      </c>
      <c r="P221" s="128">
        <v>1500</v>
      </c>
      <c r="Q221" s="128">
        <v>1500</v>
      </c>
      <c r="R221" s="128"/>
      <c r="S221" s="128"/>
      <c r="T221" s="128"/>
      <c r="U221" s="128"/>
      <c r="V221" s="128"/>
    </row>
    <row r="222" spans="1:22">
      <c r="A222" s="134"/>
      <c r="B222" s="134"/>
      <c r="C222" s="134"/>
      <c r="D222" s="124"/>
      <c r="E222" s="124"/>
      <c r="F222" s="124"/>
      <c r="G222" s="124"/>
      <c r="H222" s="124"/>
      <c r="I222" s="124"/>
      <c r="J222" s="124" t="s">
        <v>599</v>
      </c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</row>
    <row r="223" spans="1:22">
      <c r="A223" s="134"/>
      <c r="B223" s="134"/>
      <c r="C223" s="134"/>
      <c r="D223" s="124" t="s">
        <v>108</v>
      </c>
      <c r="E223" s="124">
        <v>31615</v>
      </c>
      <c r="F223" s="127" t="s">
        <v>60</v>
      </c>
      <c r="G223" s="127"/>
      <c r="H223" s="127"/>
      <c r="I223" s="124" t="s">
        <v>597</v>
      </c>
      <c r="J223" s="124" t="s">
        <v>598</v>
      </c>
      <c r="K223" s="128">
        <v>4500</v>
      </c>
      <c r="L223" s="128">
        <v>4500</v>
      </c>
      <c r="M223" s="128">
        <v>5000</v>
      </c>
      <c r="N223" s="128">
        <v>5000</v>
      </c>
      <c r="O223" s="128">
        <v>5000</v>
      </c>
      <c r="P223" s="128">
        <v>5000</v>
      </c>
      <c r="Q223" s="128">
        <v>2615</v>
      </c>
      <c r="S223" s="128"/>
      <c r="T223" s="128"/>
      <c r="U223" s="128"/>
      <c r="V223" s="128"/>
    </row>
    <row r="224" spans="1:22">
      <c r="A224" s="134"/>
      <c r="B224" s="134"/>
      <c r="C224" s="134"/>
      <c r="D224" s="124"/>
      <c r="E224" s="124"/>
      <c r="F224" s="124"/>
      <c r="G224" s="124"/>
      <c r="H224" s="124"/>
      <c r="I224" s="124"/>
      <c r="J224" s="124" t="s">
        <v>599</v>
      </c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</row>
    <row r="225" spans="1:22">
      <c r="A225" s="134"/>
      <c r="B225" s="134"/>
      <c r="C225" s="134"/>
      <c r="D225" s="124"/>
      <c r="E225" s="124"/>
      <c r="F225" s="124"/>
      <c r="G225" s="124"/>
      <c r="H225" s="124"/>
      <c r="I225" s="124" t="s">
        <v>600</v>
      </c>
      <c r="J225" s="124" t="s">
        <v>598</v>
      </c>
      <c r="K225" s="128">
        <v>3000</v>
      </c>
      <c r="L225" s="128">
        <v>3000</v>
      </c>
      <c r="M225" s="128">
        <v>3000</v>
      </c>
      <c r="N225" s="128">
        <v>3000</v>
      </c>
      <c r="O225" s="128">
        <v>3000</v>
      </c>
      <c r="P225" s="128">
        <v>3000</v>
      </c>
      <c r="Q225" s="128">
        <v>3000</v>
      </c>
      <c r="R225" s="128">
        <v>3000</v>
      </c>
      <c r="S225" s="128">
        <v>3000</v>
      </c>
      <c r="T225" s="128">
        <v>3000</v>
      </c>
      <c r="U225" s="128">
        <v>1615</v>
      </c>
      <c r="V225" s="128"/>
    </row>
    <row r="226" spans="1:22">
      <c r="A226" s="134"/>
      <c r="B226" s="134"/>
      <c r="C226" s="134"/>
      <c r="D226" s="124"/>
      <c r="E226" s="124"/>
      <c r="F226" s="124"/>
      <c r="G226" s="124"/>
      <c r="H226" s="124"/>
      <c r="I226" s="124"/>
      <c r="J226" s="124" t="s">
        <v>599</v>
      </c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</row>
    <row r="227" spans="1:22">
      <c r="A227" s="134"/>
      <c r="B227" s="134"/>
      <c r="C227" s="134"/>
      <c r="D227" s="124"/>
      <c r="E227" s="124"/>
      <c r="F227" s="124"/>
      <c r="G227" s="124"/>
      <c r="H227" s="124"/>
      <c r="I227" s="124" t="s">
        <v>601</v>
      </c>
      <c r="J227" s="124" t="s">
        <v>598</v>
      </c>
      <c r="K227" s="128"/>
      <c r="L227" s="128">
        <v>2000</v>
      </c>
      <c r="M227" s="128">
        <v>2000</v>
      </c>
      <c r="N227" s="128">
        <v>2000</v>
      </c>
      <c r="O227" s="128">
        <v>2000</v>
      </c>
      <c r="P227" s="128">
        <v>2000</v>
      </c>
      <c r="Q227" s="128">
        <v>2000</v>
      </c>
      <c r="R227" s="128">
        <v>2000</v>
      </c>
      <c r="S227" s="128">
        <v>2000</v>
      </c>
      <c r="T227" s="128">
        <v>2000</v>
      </c>
      <c r="U227" s="128">
        <v>2000</v>
      </c>
      <c r="V227" s="128">
        <v>2000</v>
      </c>
    </row>
    <row r="228" spans="1:22">
      <c r="A228" s="134"/>
      <c r="B228" s="134"/>
      <c r="C228" s="134"/>
      <c r="D228" s="124"/>
      <c r="E228" s="124"/>
      <c r="F228" s="124"/>
      <c r="G228" s="124"/>
      <c r="H228" s="124"/>
      <c r="I228" s="124"/>
      <c r="J228" s="124" t="s">
        <v>599</v>
      </c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</row>
    <row r="229" spans="1:22">
      <c r="A229" s="134"/>
      <c r="B229" s="134"/>
      <c r="C229" s="134"/>
      <c r="D229" s="124" t="s">
        <v>110</v>
      </c>
      <c r="E229" s="124">
        <v>609</v>
      </c>
      <c r="F229" s="127" t="s">
        <v>60</v>
      </c>
      <c r="G229" s="127"/>
      <c r="H229" s="127"/>
      <c r="I229" s="124" t="s">
        <v>597</v>
      </c>
      <c r="J229" s="124" t="s">
        <v>598</v>
      </c>
      <c r="K229" s="128"/>
      <c r="L229" s="128"/>
      <c r="M229" s="128">
        <v>609</v>
      </c>
      <c r="N229" s="128"/>
      <c r="O229" s="128"/>
      <c r="P229" s="128"/>
      <c r="Q229" s="128"/>
      <c r="R229" s="128"/>
      <c r="S229" s="128"/>
      <c r="T229" s="128"/>
      <c r="U229" s="128"/>
      <c r="V229" s="128"/>
    </row>
    <row r="230" spans="1:22">
      <c r="A230" s="134"/>
      <c r="B230" s="134"/>
      <c r="C230" s="134"/>
      <c r="D230" s="124"/>
      <c r="E230" s="124"/>
      <c r="F230" s="124"/>
      <c r="G230" s="124"/>
      <c r="H230" s="124"/>
      <c r="I230" s="124"/>
      <c r="J230" s="124" t="s">
        <v>599</v>
      </c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</row>
    <row r="231" spans="1:22">
      <c r="A231" s="134"/>
      <c r="B231" s="134"/>
      <c r="C231" s="134"/>
      <c r="D231" s="124"/>
      <c r="E231" s="124"/>
      <c r="F231" s="124"/>
      <c r="G231" s="124"/>
      <c r="H231" s="124"/>
      <c r="I231" s="124" t="s">
        <v>600</v>
      </c>
      <c r="J231" s="124" t="s">
        <v>598</v>
      </c>
      <c r="K231" s="128"/>
      <c r="L231" s="128"/>
      <c r="M231" s="128"/>
      <c r="N231" s="128">
        <v>609</v>
      </c>
      <c r="O231" s="128"/>
      <c r="P231" s="128"/>
      <c r="Q231" s="128"/>
      <c r="R231" s="128"/>
      <c r="S231" s="128"/>
      <c r="T231" s="128"/>
      <c r="U231" s="128"/>
      <c r="V231" s="128"/>
    </row>
    <row r="232" spans="1:22">
      <c r="A232" s="134"/>
      <c r="B232" s="134"/>
      <c r="C232" s="134"/>
      <c r="D232" s="124"/>
      <c r="E232" s="124"/>
      <c r="F232" s="124"/>
      <c r="G232" s="124"/>
      <c r="H232" s="124"/>
      <c r="I232" s="124"/>
      <c r="J232" s="124" t="s">
        <v>599</v>
      </c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</row>
    <row r="233" spans="1:22">
      <c r="A233" s="134"/>
      <c r="B233" s="134"/>
      <c r="C233" s="134"/>
      <c r="D233" s="124"/>
      <c r="E233" s="124"/>
      <c r="F233" s="124"/>
      <c r="G233" s="124"/>
      <c r="H233" s="124"/>
      <c r="I233" s="124" t="s">
        <v>601</v>
      </c>
      <c r="J233" s="124" t="s">
        <v>598</v>
      </c>
      <c r="K233" s="128"/>
      <c r="L233" s="128"/>
      <c r="M233" s="128"/>
      <c r="N233" s="128"/>
      <c r="O233" s="128">
        <v>609</v>
      </c>
      <c r="P233" s="128"/>
      <c r="Q233" s="128"/>
      <c r="R233" s="128"/>
      <c r="S233" s="128"/>
      <c r="T233" s="128"/>
      <c r="U233" s="128"/>
      <c r="V233" s="128"/>
    </row>
    <row r="234" spans="1:22">
      <c r="A234" s="134"/>
      <c r="B234" s="134"/>
      <c r="C234" s="134"/>
      <c r="D234" s="124"/>
      <c r="E234" s="124"/>
      <c r="F234" s="124"/>
      <c r="G234" s="124"/>
      <c r="H234" s="124"/>
      <c r="I234" s="124"/>
      <c r="J234" s="124" t="s">
        <v>599</v>
      </c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</row>
    <row r="235" spans="1:22">
      <c r="A235" s="134"/>
      <c r="B235" s="134"/>
      <c r="C235" s="134"/>
      <c r="D235" s="124" t="s">
        <v>112</v>
      </c>
      <c r="E235" s="124">
        <v>9031</v>
      </c>
      <c r="F235" s="127" t="s">
        <v>60</v>
      </c>
      <c r="G235" s="127"/>
      <c r="H235" s="127"/>
      <c r="I235" s="124" t="s">
        <v>597</v>
      </c>
      <c r="J235" s="124" t="s">
        <v>598</v>
      </c>
      <c r="K235" s="128"/>
      <c r="L235" s="128"/>
      <c r="M235" s="128">
        <v>3000</v>
      </c>
      <c r="N235" s="128">
        <v>3000</v>
      </c>
      <c r="O235" s="128">
        <v>3031</v>
      </c>
      <c r="P235" s="128"/>
      <c r="Q235" s="128"/>
      <c r="R235" s="128"/>
      <c r="S235" s="128"/>
      <c r="T235" s="128"/>
      <c r="U235" s="128"/>
      <c r="V235" s="128"/>
    </row>
    <row r="236" spans="1:22">
      <c r="A236" s="134"/>
      <c r="B236" s="134"/>
      <c r="C236" s="134"/>
      <c r="D236" s="124"/>
      <c r="E236" s="124"/>
      <c r="F236" s="124"/>
      <c r="G236" s="124"/>
      <c r="H236" s="124"/>
      <c r="I236" s="124"/>
      <c r="J236" s="124" t="s">
        <v>599</v>
      </c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</row>
    <row r="237" spans="1:22">
      <c r="A237" s="134"/>
      <c r="B237" s="134"/>
      <c r="C237" s="134"/>
      <c r="D237" s="124"/>
      <c r="E237" s="124"/>
      <c r="F237" s="124"/>
      <c r="G237" s="124"/>
      <c r="H237" s="124"/>
      <c r="I237" s="124" t="s">
        <v>600</v>
      </c>
      <c r="J237" s="124" t="s">
        <v>598</v>
      </c>
      <c r="K237" s="128"/>
      <c r="L237" s="128"/>
      <c r="M237" s="128"/>
      <c r="N237" s="128">
        <v>3000</v>
      </c>
      <c r="O237" s="128">
        <v>3000</v>
      </c>
      <c r="P237" s="128">
        <v>3031</v>
      </c>
      <c r="Q237" s="128"/>
      <c r="R237" s="128"/>
      <c r="S237" s="128"/>
      <c r="T237" s="128"/>
      <c r="U237" s="128"/>
      <c r="V237" s="128"/>
    </row>
    <row r="238" spans="1:22">
      <c r="A238" s="134"/>
      <c r="B238" s="134"/>
      <c r="C238" s="134"/>
      <c r="D238" s="124"/>
      <c r="E238" s="124"/>
      <c r="F238" s="124"/>
      <c r="G238" s="124"/>
      <c r="H238" s="124"/>
      <c r="I238" s="124"/>
      <c r="J238" s="124" t="s">
        <v>599</v>
      </c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</row>
    <row r="239" spans="1:22">
      <c r="A239" s="134"/>
      <c r="B239" s="134"/>
      <c r="C239" s="134"/>
      <c r="D239" s="124"/>
      <c r="E239" s="124"/>
      <c r="F239" s="124"/>
      <c r="G239" s="124"/>
      <c r="H239" s="124"/>
      <c r="I239" s="124" t="s">
        <v>601</v>
      </c>
      <c r="J239" s="124" t="s">
        <v>598</v>
      </c>
      <c r="K239" s="128"/>
      <c r="L239" s="128"/>
      <c r="M239" s="128"/>
      <c r="N239" s="128"/>
      <c r="O239" s="128">
        <v>1500</v>
      </c>
      <c r="P239" s="128">
        <v>1500</v>
      </c>
      <c r="Q239" s="128">
        <v>1500</v>
      </c>
      <c r="R239" s="128">
        <v>1500</v>
      </c>
      <c r="S239" s="128">
        <v>1500</v>
      </c>
      <c r="T239" s="128">
        <v>1531</v>
      </c>
      <c r="U239" s="128"/>
      <c r="V239" s="128"/>
    </row>
    <row r="240" spans="1:22">
      <c r="A240" s="134"/>
      <c r="B240" s="134"/>
      <c r="C240" s="134"/>
      <c r="D240" s="124"/>
      <c r="E240" s="124"/>
      <c r="F240" s="124"/>
      <c r="G240" s="124"/>
      <c r="H240" s="124"/>
      <c r="I240" s="124"/>
      <c r="J240" s="124" t="s">
        <v>599</v>
      </c>
      <c r="K240" s="132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</row>
    <row r="241" spans="1:22">
      <c r="A241" s="134"/>
      <c r="B241" s="134"/>
      <c r="C241" s="134"/>
      <c r="D241" s="124" t="s">
        <v>117</v>
      </c>
      <c r="E241" s="124">
        <v>17692</v>
      </c>
      <c r="F241" s="127" t="s">
        <v>60</v>
      </c>
      <c r="G241" s="127"/>
      <c r="H241" s="127"/>
      <c r="I241" s="124" t="s">
        <v>597</v>
      </c>
      <c r="J241" s="124" t="s">
        <v>598</v>
      </c>
      <c r="K241" s="128">
        <v>4500</v>
      </c>
      <c r="L241" s="128">
        <v>4500</v>
      </c>
      <c r="M241" s="128">
        <v>4500</v>
      </c>
      <c r="N241" s="128">
        <v>4192</v>
      </c>
      <c r="O241" s="128"/>
      <c r="P241" s="128"/>
      <c r="Q241" s="128"/>
      <c r="R241" s="128"/>
      <c r="S241" s="128"/>
      <c r="T241" s="128"/>
      <c r="U241" s="128"/>
      <c r="V241" s="128"/>
    </row>
    <row r="242" spans="1:22">
      <c r="A242" s="134"/>
      <c r="B242" s="134"/>
      <c r="C242" s="134"/>
      <c r="D242" s="124"/>
      <c r="E242" s="124"/>
      <c r="F242" s="124"/>
      <c r="G242" s="124"/>
      <c r="H242" s="124"/>
      <c r="I242" s="124"/>
      <c r="J242" s="124" t="s">
        <v>599</v>
      </c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</row>
    <row r="243" spans="1:22">
      <c r="A243" s="134"/>
      <c r="B243" s="134"/>
      <c r="C243" s="134"/>
      <c r="D243" s="124"/>
      <c r="E243" s="124"/>
      <c r="F243" s="124"/>
      <c r="G243" s="124"/>
      <c r="H243" s="124"/>
      <c r="I243" s="124" t="s">
        <v>600</v>
      </c>
      <c r="J243" s="124" t="s">
        <v>598</v>
      </c>
      <c r="K243" s="128"/>
      <c r="L243" s="128">
        <v>2500</v>
      </c>
      <c r="M243" s="128">
        <v>2500</v>
      </c>
      <c r="N243" s="128">
        <v>2500</v>
      </c>
      <c r="O243" s="128">
        <v>2500</v>
      </c>
      <c r="P243" s="128">
        <v>2500</v>
      </c>
      <c r="Q243" s="128">
        <v>2500</v>
      </c>
      <c r="R243" s="128">
        <v>2692</v>
      </c>
      <c r="S243" s="128"/>
      <c r="T243" s="128"/>
      <c r="U243" s="128"/>
      <c r="V243" s="128"/>
    </row>
    <row r="244" spans="1:22">
      <c r="A244" s="134"/>
      <c r="B244" s="134"/>
      <c r="C244" s="134"/>
      <c r="D244" s="124"/>
      <c r="E244" s="124"/>
      <c r="F244" s="124"/>
      <c r="G244" s="124"/>
      <c r="H244" s="124"/>
      <c r="I244" s="124"/>
      <c r="J244" s="124" t="s">
        <v>599</v>
      </c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</row>
    <row r="245" spans="1:22">
      <c r="A245" s="134"/>
      <c r="B245" s="134"/>
      <c r="C245" s="134"/>
      <c r="D245" s="124"/>
      <c r="E245" s="124"/>
      <c r="F245" s="124"/>
      <c r="G245" s="124"/>
      <c r="H245" s="124"/>
      <c r="I245" s="124" t="s">
        <v>601</v>
      </c>
      <c r="J245" s="124" t="s">
        <v>598</v>
      </c>
      <c r="K245" s="128"/>
      <c r="L245" s="128"/>
      <c r="M245" s="128">
        <v>1800</v>
      </c>
      <c r="N245" s="128">
        <v>1800</v>
      </c>
      <c r="O245" s="128">
        <v>1800</v>
      </c>
      <c r="P245" s="128">
        <v>1800</v>
      </c>
      <c r="Q245" s="128">
        <v>1800</v>
      </c>
      <c r="R245" s="128">
        <v>1800</v>
      </c>
      <c r="S245" s="128">
        <v>1800</v>
      </c>
      <c r="T245" s="128">
        <v>1800</v>
      </c>
      <c r="U245" s="128">
        <v>1800</v>
      </c>
      <c r="V245" s="128">
        <v>1692</v>
      </c>
    </row>
    <row r="246" spans="1:22">
      <c r="A246" s="134"/>
      <c r="B246" s="134"/>
      <c r="C246" s="134"/>
      <c r="D246" s="124"/>
      <c r="E246" s="124"/>
      <c r="F246" s="124"/>
      <c r="G246" s="124"/>
      <c r="H246" s="124"/>
      <c r="I246" s="124"/>
      <c r="J246" s="124" t="s">
        <v>599</v>
      </c>
      <c r="K246" s="132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</row>
    <row r="247" spans="1:22">
      <c r="A247" s="134"/>
      <c r="B247" s="134"/>
      <c r="C247" s="134"/>
      <c r="D247" s="124" t="s">
        <v>113</v>
      </c>
      <c r="E247" s="124">
        <v>3356</v>
      </c>
      <c r="F247" s="127" t="s">
        <v>60</v>
      </c>
      <c r="G247" s="127"/>
      <c r="H247" s="127"/>
      <c r="I247" s="124" t="s">
        <v>597</v>
      </c>
      <c r="J247" s="124" t="s">
        <v>598</v>
      </c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</row>
    <row r="248" spans="1:22">
      <c r="A248" s="134"/>
      <c r="B248" s="134"/>
      <c r="C248" s="134"/>
      <c r="D248" s="124"/>
      <c r="E248" s="124"/>
      <c r="F248" s="124"/>
      <c r="G248" s="124"/>
      <c r="H248" s="124"/>
      <c r="I248" s="124"/>
      <c r="J248" s="124" t="s">
        <v>599</v>
      </c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</row>
    <row r="249" spans="1:22">
      <c r="A249" s="134"/>
      <c r="B249" s="134"/>
      <c r="C249" s="134"/>
      <c r="D249" s="124"/>
      <c r="E249" s="124"/>
      <c r="F249" s="124"/>
      <c r="G249" s="124"/>
      <c r="H249" s="124"/>
      <c r="I249" s="124" t="s">
        <v>600</v>
      </c>
      <c r="J249" s="124" t="s">
        <v>598</v>
      </c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</row>
    <row r="250" spans="1:22">
      <c r="A250" s="134"/>
      <c r="B250" s="134"/>
      <c r="C250" s="134"/>
      <c r="D250" s="124"/>
      <c r="E250" s="124"/>
      <c r="F250" s="124"/>
      <c r="G250" s="124"/>
      <c r="H250" s="124"/>
      <c r="I250" s="124"/>
      <c r="J250" s="124" t="s">
        <v>599</v>
      </c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</row>
    <row r="251" spans="1:22">
      <c r="A251" s="134"/>
      <c r="B251" s="134"/>
      <c r="C251" s="134"/>
      <c r="D251" s="124"/>
      <c r="E251" s="124"/>
      <c r="F251" s="124"/>
      <c r="G251" s="124"/>
      <c r="H251" s="124"/>
      <c r="I251" s="124" t="s">
        <v>601</v>
      </c>
      <c r="J251" s="124" t="s">
        <v>598</v>
      </c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</row>
    <row r="252" spans="1:22">
      <c r="A252" s="134"/>
      <c r="B252" s="134"/>
      <c r="C252" s="134"/>
      <c r="D252" s="124"/>
      <c r="E252" s="124"/>
      <c r="F252" s="124"/>
      <c r="G252" s="124"/>
      <c r="H252" s="124"/>
      <c r="I252" s="124"/>
      <c r="J252" s="124" t="s">
        <v>599</v>
      </c>
      <c r="K252" s="132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</row>
    <row r="253" spans="1:22">
      <c r="A253" s="134"/>
      <c r="B253" s="134"/>
      <c r="C253" s="134"/>
      <c r="D253" s="124" t="s">
        <v>116</v>
      </c>
      <c r="E253" s="124">
        <v>2800</v>
      </c>
      <c r="F253" s="127" t="s">
        <v>60</v>
      </c>
      <c r="G253" s="127"/>
      <c r="H253" s="127"/>
      <c r="I253" s="124" t="s">
        <v>597</v>
      </c>
      <c r="J253" s="124" t="s">
        <v>598</v>
      </c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</row>
    <row r="254" spans="1:22">
      <c r="A254" s="134"/>
      <c r="B254" s="134"/>
      <c r="C254" s="134"/>
      <c r="D254" s="124"/>
      <c r="E254" s="124"/>
      <c r="F254" s="124"/>
      <c r="G254" s="124"/>
      <c r="H254" s="124"/>
      <c r="I254" s="124"/>
      <c r="J254" s="124" t="s">
        <v>599</v>
      </c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</row>
    <row r="255" spans="1:22">
      <c r="A255" s="134"/>
      <c r="B255" s="134"/>
      <c r="C255" s="134"/>
      <c r="D255" s="124"/>
      <c r="E255" s="124"/>
      <c r="F255" s="124"/>
      <c r="G255" s="124"/>
      <c r="H255" s="124"/>
      <c r="I255" s="124" t="s">
        <v>600</v>
      </c>
      <c r="J255" s="124" t="s">
        <v>598</v>
      </c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</row>
    <row r="256" spans="1:22">
      <c r="A256" s="134"/>
      <c r="B256" s="134"/>
      <c r="C256" s="134"/>
      <c r="D256" s="124"/>
      <c r="E256" s="124"/>
      <c r="F256" s="124"/>
      <c r="G256" s="124"/>
      <c r="H256" s="124"/>
      <c r="I256" s="124"/>
      <c r="J256" s="124" t="s">
        <v>599</v>
      </c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</row>
    <row r="257" spans="1:22">
      <c r="A257" s="134"/>
      <c r="B257" s="134"/>
      <c r="C257" s="134"/>
      <c r="D257" s="124"/>
      <c r="E257" s="124"/>
      <c r="F257" s="124"/>
      <c r="G257" s="124"/>
      <c r="H257" s="124"/>
      <c r="I257" s="124" t="s">
        <v>601</v>
      </c>
      <c r="J257" s="124" t="s">
        <v>598</v>
      </c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</row>
    <row r="258" spans="1:22">
      <c r="A258" s="134"/>
      <c r="B258" s="134"/>
      <c r="C258" s="134"/>
      <c r="D258" s="124"/>
      <c r="E258" s="124"/>
      <c r="F258" s="124"/>
      <c r="G258" s="124"/>
      <c r="H258" s="124"/>
      <c r="I258" s="124"/>
      <c r="J258" s="124" t="s">
        <v>599</v>
      </c>
      <c r="K258" s="132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</row>
    <row r="259" spans="1:22">
      <c r="A259" s="134"/>
      <c r="B259" s="134"/>
      <c r="C259" s="134"/>
      <c r="D259" s="124" t="s">
        <v>253</v>
      </c>
      <c r="E259" s="124">
        <v>862</v>
      </c>
      <c r="F259" s="127" t="s">
        <v>60</v>
      </c>
      <c r="G259" s="127"/>
      <c r="H259" s="127"/>
      <c r="I259" s="124" t="s">
        <v>597</v>
      </c>
      <c r="J259" s="124" t="s">
        <v>598</v>
      </c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</row>
    <row r="260" spans="1:22">
      <c r="A260" s="134"/>
      <c r="B260" s="134"/>
      <c r="C260" s="134"/>
      <c r="D260" s="124"/>
      <c r="E260" s="124"/>
      <c r="F260" s="124"/>
      <c r="G260" s="124"/>
      <c r="H260" s="124"/>
      <c r="I260" s="124"/>
      <c r="J260" s="124" t="s">
        <v>599</v>
      </c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</row>
    <row r="261" spans="1:22">
      <c r="A261" s="134"/>
      <c r="B261" s="134"/>
      <c r="C261" s="134"/>
      <c r="D261" s="124"/>
      <c r="E261" s="124"/>
      <c r="F261" s="124"/>
      <c r="G261" s="124"/>
      <c r="H261" s="124"/>
      <c r="I261" s="124" t="s">
        <v>600</v>
      </c>
      <c r="J261" s="124" t="s">
        <v>598</v>
      </c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</row>
    <row r="262" spans="1:22">
      <c r="A262" s="134"/>
      <c r="B262" s="134"/>
      <c r="C262" s="134"/>
      <c r="D262" s="124"/>
      <c r="E262" s="124"/>
      <c r="F262" s="124"/>
      <c r="G262" s="124"/>
      <c r="H262" s="124"/>
      <c r="I262" s="124"/>
      <c r="J262" s="124" t="s">
        <v>599</v>
      </c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</row>
    <row r="263" spans="1:22">
      <c r="A263" s="134"/>
      <c r="B263" s="134"/>
      <c r="C263" s="134"/>
      <c r="D263" s="124"/>
      <c r="E263" s="124"/>
      <c r="F263" s="124"/>
      <c r="G263" s="124"/>
      <c r="H263" s="124"/>
      <c r="I263" s="124" t="s">
        <v>601</v>
      </c>
      <c r="J263" s="124" t="s">
        <v>598</v>
      </c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</row>
    <row r="264" spans="1:22">
      <c r="A264" s="134"/>
      <c r="B264" s="134"/>
      <c r="C264" s="134"/>
      <c r="D264" s="124"/>
      <c r="E264" s="124"/>
      <c r="F264" s="124"/>
      <c r="G264" s="124"/>
      <c r="H264" s="124"/>
      <c r="I264" s="124"/>
      <c r="J264" s="124" t="s">
        <v>599</v>
      </c>
      <c r="K264" s="132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</row>
    <row r="265" spans="1:22">
      <c r="A265" s="134"/>
      <c r="B265" s="134"/>
      <c r="C265" s="134"/>
      <c r="D265" s="124" t="s">
        <v>118</v>
      </c>
      <c r="E265" s="124">
        <v>677</v>
      </c>
      <c r="F265" s="127" t="s">
        <v>60</v>
      </c>
      <c r="G265" s="127"/>
      <c r="H265" s="127"/>
      <c r="I265" s="124" t="s">
        <v>597</v>
      </c>
      <c r="J265" s="124" t="s">
        <v>598</v>
      </c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</row>
    <row r="266" spans="1:22">
      <c r="A266" s="134"/>
      <c r="B266" s="134"/>
      <c r="C266" s="134"/>
      <c r="D266" s="124"/>
      <c r="E266" s="124"/>
      <c r="F266" s="124"/>
      <c r="G266" s="124"/>
      <c r="H266" s="124"/>
      <c r="I266" s="124"/>
      <c r="J266" s="124" t="s">
        <v>599</v>
      </c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</row>
    <row r="267" spans="1:22">
      <c r="A267" s="134"/>
      <c r="B267" s="134"/>
      <c r="C267" s="134"/>
      <c r="D267" s="124"/>
      <c r="E267" s="124"/>
      <c r="F267" s="124"/>
      <c r="G267" s="124"/>
      <c r="H267" s="124"/>
      <c r="I267" s="124" t="s">
        <v>600</v>
      </c>
      <c r="J267" s="124" t="s">
        <v>598</v>
      </c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</row>
    <row r="268" spans="1:22">
      <c r="A268" s="134"/>
      <c r="B268" s="134"/>
      <c r="C268" s="134"/>
      <c r="D268" s="124"/>
      <c r="E268" s="124"/>
      <c r="F268" s="124"/>
      <c r="G268" s="124"/>
      <c r="H268" s="124"/>
      <c r="I268" s="124"/>
      <c r="J268" s="124" t="s">
        <v>599</v>
      </c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</row>
    <row r="269" spans="1:22">
      <c r="A269" s="134"/>
      <c r="B269" s="134"/>
      <c r="C269" s="134"/>
      <c r="D269" s="124"/>
      <c r="E269" s="124"/>
      <c r="F269" s="124"/>
      <c r="G269" s="124"/>
      <c r="H269" s="124"/>
      <c r="I269" s="124" t="s">
        <v>601</v>
      </c>
      <c r="J269" s="124" t="s">
        <v>598</v>
      </c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</row>
    <row r="270" spans="1:22">
      <c r="A270" s="134"/>
      <c r="B270" s="134"/>
      <c r="C270" s="134"/>
      <c r="D270" s="124"/>
      <c r="E270" s="124"/>
      <c r="F270" s="124"/>
      <c r="G270" s="124"/>
      <c r="H270" s="124"/>
      <c r="I270" s="124"/>
      <c r="J270" s="124" t="s">
        <v>599</v>
      </c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</row>
    <row r="271" spans="1:22">
      <c r="A271" s="134"/>
      <c r="B271" s="134"/>
      <c r="C271" s="134"/>
      <c r="D271" s="124" t="s">
        <v>119</v>
      </c>
      <c r="E271" s="124">
        <v>3778</v>
      </c>
      <c r="F271" s="127" t="s">
        <v>60</v>
      </c>
      <c r="G271" s="127"/>
      <c r="H271" s="127"/>
      <c r="I271" s="124" t="s">
        <v>597</v>
      </c>
      <c r="J271" s="124" t="s">
        <v>598</v>
      </c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</row>
    <row r="272" spans="1:22">
      <c r="A272" s="134"/>
      <c r="B272" s="134"/>
      <c r="C272" s="134"/>
      <c r="D272" s="124"/>
      <c r="E272" s="124"/>
      <c r="F272" s="124"/>
      <c r="G272" s="124"/>
      <c r="H272" s="124"/>
      <c r="I272" s="124"/>
      <c r="J272" s="124" t="s">
        <v>599</v>
      </c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</row>
    <row r="273" spans="1:22">
      <c r="A273" s="134"/>
      <c r="B273" s="134"/>
      <c r="C273" s="134"/>
      <c r="D273" s="124"/>
      <c r="E273" s="124"/>
      <c r="F273" s="124"/>
      <c r="G273" s="124"/>
      <c r="H273" s="124"/>
      <c r="I273" s="124" t="s">
        <v>600</v>
      </c>
      <c r="J273" s="124" t="s">
        <v>598</v>
      </c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</row>
    <row r="274" spans="1:22">
      <c r="A274" s="134"/>
      <c r="B274" s="134"/>
      <c r="C274" s="134"/>
      <c r="D274" s="124"/>
      <c r="E274" s="124"/>
      <c r="F274" s="124"/>
      <c r="G274" s="124"/>
      <c r="H274" s="124"/>
      <c r="I274" s="124"/>
      <c r="J274" s="124" t="s">
        <v>599</v>
      </c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</row>
    <row r="275" spans="1:22">
      <c r="A275" s="134"/>
      <c r="B275" s="134"/>
      <c r="C275" s="134"/>
      <c r="D275" s="124"/>
      <c r="E275" s="124"/>
      <c r="F275" s="124"/>
      <c r="G275" s="124"/>
      <c r="H275" s="124"/>
      <c r="I275" s="124" t="s">
        <v>601</v>
      </c>
      <c r="J275" s="124" t="s">
        <v>598</v>
      </c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</row>
    <row r="276" spans="1:22">
      <c r="A276" s="136"/>
      <c r="B276" s="136"/>
      <c r="C276" s="136"/>
      <c r="D276" s="124"/>
      <c r="E276" s="124"/>
      <c r="F276" s="124"/>
      <c r="G276" s="124"/>
      <c r="H276" s="124"/>
      <c r="I276" s="124"/>
      <c r="J276" s="124" t="s">
        <v>599</v>
      </c>
      <c r="K276" s="132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</row>
  </sheetData>
  <mergeCells count="357">
    <mergeCell ref="A2:V2"/>
    <mergeCell ref="K3:V3"/>
    <mergeCell ref="A3:A4"/>
    <mergeCell ref="A5:A210"/>
    <mergeCell ref="A211:A216"/>
    <mergeCell ref="A217:A276"/>
    <mergeCell ref="B3:B4"/>
    <mergeCell ref="B5:B210"/>
    <mergeCell ref="B211:B216"/>
    <mergeCell ref="B217:B276"/>
    <mergeCell ref="C3:C4"/>
    <mergeCell ref="C5:C210"/>
    <mergeCell ref="C211:C216"/>
    <mergeCell ref="C217:C276"/>
    <mergeCell ref="D3:D4"/>
    <mergeCell ref="D5:D12"/>
    <mergeCell ref="D13:D20"/>
    <mergeCell ref="D21:D28"/>
    <mergeCell ref="D29:D36"/>
    <mergeCell ref="D37:D44"/>
    <mergeCell ref="D45:D52"/>
    <mergeCell ref="D53:D60"/>
    <mergeCell ref="D61:D68"/>
    <mergeCell ref="D69:D76"/>
    <mergeCell ref="D77:D84"/>
    <mergeCell ref="D85:D92"/>
    <mergeCell ref="D93:D100"/>
    <mergeCell ref="D101:D108"/>
    <mergeCell ref="D109:D116"/>
    <mergeCell ref="D117:D122"/>
    <mergeCell ref="D123:D128"/>
    <mergeCell ref="D129:D134"/>
    <mergeCell ref="D135:D140"/>
    <mergeCell ref="D141:D148"/>
    <mergeCell ref="D149:D156"/>
    <mergeCell ref="D157:D162"/>
    <mergeCell ref="D163:D168"/>
    <mergeCell ref="D169:D176"/>
    <mergeCell ref="D177:D184"/>
    <mergeCell ref="D185:D190"/>
    <mergeCell ref="D191:D196"/>
    <mergeCell ref="D197:D200"/>
    <mergeCell ref="D201:D206"/>
    <mergeCell ref="D207:D210"/>
    <mergeCell ref="D211:D216"/>
    <mergeCell ref="D217:D222"/>
    <mergeCell ref="D223:D228"/>
    <mergeCell ref="D229:D234"/>
    <mergeCell ref="D235:D240"/>
    <mergeCell ref="D241:D246"/>
    <mergeCell ref="D247:D252"/>
    <mergeCell ref="D253:D258"/>
    <mergeCell ref="D259:D264"/>
    <mergeCell ref="D265:D270"/>
    <mergeCell ref="D271:D276"/>
    <mergeCell ref="E3:E4"/>
    <mergeCell ref="E5:E12"/>
    <mergeCell ref="E13:E20"/>
    <mergeCell ref="E21:E28"/>
    <mergeCell ref="E29:E36"/>
    <mergeCell ref="E37:E44"/>
    <mergeCell ref="E45:E52"/>
    <mergeCell ref="E53:E60"/>
    <mergeCell ref="E61:E68"/>
    <mergeCell ref="E69:E76"/>
    <mergeCell ref="E77:E84"/>
    <mergeCell ref="E85:E92"/>
    <mergeCell ref="E93:E100"/>
    <mergeCell ref="E101:E108"/>
    <mergeCell ref="E109:E116"/>
    <mergeCell ref="E117:E122"/>
    <mergeCell ref="E123:E128"/>
    <mergeCell ref="E129:E134"/>
    <mergeCell ref="E135:E140"/>
    <mergeCell ref="E141:E148"/>
    <mergeCell ref="E149:E156"/>
    <mergeCell ref="E157:E162"/>
    <mergeCell ref="E163:E168"/>
    <mergeCell ref="E169:E176"/>
    <mergeCell ref="E177:E184"/>
    <mergeCell ref="E185:E190"/>
    <mergeCell ref="E191:E196"/>
    <mergeCell ref="E197:E200"/>
    <mergeCell ref="E201:E206"/>
    <mergeCell ref="E207:E210"/>
    <mergeCell ref="E211:E216"/>
    <mergeCell ref="E217:E222"/>
    <mergeCell ref="E223:E228"/>
    <mergeCell ref="E229:E234"/>
    <mergeCell ref="E235:E240"/>
    <mergeCell ref="E241:E246"/>
    <mergeCell ref="E247:E252"/>
    <mergeCell ref="E253:E258"/>
    <mergeCell ref="E259:E264"/>
    <mergeCell ref="E265:E270"/>
    <mergeCell ref="E271:E276"/>
    <mergeCell ref="F3:F4"/>
    <mergeCell ref="F5:F12"/>
    <mergeCell ref="F13:F20"/>
    <mergeCell ref="F21:F28"/>
    <mergeCell ref="F29:F36"/>
    <mergeCell ref="F37:F44"/>
    <mergeCell ref="F45:F52"/>
    <mergeCell ref="F53:F60"/>
    <mergeCell ref="F61:F68"/>
    <mergeCell ref="F69:F76"/>
    <mergeCell ref="F77:F84"/>
    <mergeCell ref="F85:F92"/>
    <mergeCell ref="F93:F100"/>
    <mergeCell ref="F101:F108"/>
    <mergeCell ref="F109:F116"/>
    <mergeCell ref="F117:F122"/>
    <mergeCell ref="F123:F128"/>
    <mergeCell ref="F129:F134"/>
    <mergeCell ref="F135:F140"/>
    <mergeCell ref="F141:F148"/>
    <mergeCell ref="F149:F156"/>
    <mergeCell ref="F157:F162"/>
    <mergeCell ref="F163:F168"/>
    <mergeCell ref="F169:F176"/>
    <mergeCell ref="F177:F184"/>
    <mergeCell ref="F185:F190"/>
    <mergeCell ref="F191:F196"/>
    <mergeCell ref="F197:F200"/>
    <mergeCell ref="F201:F206"/>
    <mergeCell ref="F207:F210"/>
    <mergeCell ref="F211:F216"/>
    <mergeCell ref="F217:F222"/>
    <mergeCell ref="F223:F228"/>
    <mergeCell ref="F229:F234"/>
    <mergeCell ref="F235:F240"/>
    <mergeCell ref="F241:F246"/>
    <mergeCell ref="F247:F252"/>
    <mergeCell ref="F253:F258"/>
    <mergeCell ref="F259:F264"/>
    <mergeCell ref="F265:F270"/>
    <mergeCell ref="F271:F276"/>
    <mergeCell ref="G3:G4"/>
    <mergeCell ref="G5:G12"/>
    <mergeCell ref="G13:G20"/>
    <mergeCell ref="G21:G28"/>
    <mergeCell ref="G29:G36"/>
    <mergeCell ref="G37:G44"/>
    <mergeCell ref="G45:G52"/>
    <mergeCell ref="G53:G60"/>
    <mergeCell ref="G61:G68"/>
    <mergeCell ref="G69:G76"/>
    <mergeCell ref="G77:G84"/>
    <mergeCell ref="G85:G92"/>
    <mergeCell ref="G93:G100"/>
    <mergeCell ref="G101:G108"/>
    <mergeCell ref="G109:G116"/>
    <mergeCell ref="G117:G122"/>
    <mergeCell ref="G123:G128"/>
    <mergeCell ref="G129:G134"/>
    <mergeCell ref="G135:G140"/>
    <mergeCell ref="G141:G148"/>
    <mergeCell ref="G149:G156"/>
    <mergeCell ref="G157:G162"/>
    <mergeCell ref="G163:G168"/>
    <mergeCell ref="G169:G176"/>
    <mergeCell ref="G177:G184"/>
    <mergeCell ref="G185:G190"/>
    <mergeCell ref="G191:G196"/>
    <mergeCell ref="G197:G200"/>
    <mergeCell ref="G201:G206"/>
    <mergeCell ref="G207:G210"/>
    <mergeCell ref="G211:G216"/>
    <mergeCell ref="G217:G222"/>
    <mergeCell ref="G223:G228"/>
    <mergeCell ref="G229:G234"/>
    <mergeCell ref="G235:G240"/>
    <mergeCell ref="G241:G246"/>
    <mergeCell ref="G247:G252"/>
    <mergeCell ref="G253:G258"/>
    <mergeCell ref="G259:G264"/>
    <mergeCell ref="G265:G270"/>
    <mergeCell ref="G271:G276"/>
    <mergeCell ref="H3:H4"/>
    <mergeCell ref="H5:H12"/>
    <mergeCell ref="H13:H20"/>
    <mergeCell ref="H21:H28"/>
    <mergeCell ref="H29:H36"/>
    <mergeCell ref="H37:H44"/>
    <mergeCell ref="H45:H52"/>
    <mergeCell ref="H53:H60"/>
    <mergeCell ref="H61:H68"/>
    <mergeCell ref="H69:H76"/>
    <mergeCell ref="H77:H84"/>
    <mergeCell ref="H85:H92"/>
    <mergeCell ref="H93:H100"/>
    <mergeCell ref="H101:H108"/>
    <mergeCell ref="H109:H116"/>
    <mergeCell ref="H117:H122"/>
    <mergeCell ref="H123:H128"/>
    <mergeCell ref="H129:H134"/>
    <mergeCell ref="H135:H140"/>
    <mergeCell ref="H141:H148"/>
    <mergeCell ref="H149:H156"/>
    <mergeCell ref="H157:H162"/>
    <mergeCell ref="H163:H168"/>
    <mergeCell ref="H169:H176"/>
    <mergeCell ref="H177:H184"/>
    <mergeCell ref="H185:H190"/>
    <mergeCell ref="H191:H196"/>
    <mergeCell ref="H197:H200"/>
    <mergeCell ref="H201:H206"/>
    <mergeCell ref="H207:H210"/>
    <mergeCell ref="H211:H216"/>
    <mergeCell ref="H217:H222"/>
    <mergeCell ref="H223:H228"/>
    <mergeCell ref="H229:H234"/>
    <mergeCell ref="H235:H240"/>
    <mergeCell ref="H241:H246"/>
    <mergeCell ref="H247:H252"/>
    <mergeCell ref="H253:H258"/>
    <mergeCell ref="H259:H264"/>
    <mergeCell ref="H265:H270"/>
    <mergeCell ref="H271:H276"/>
    <mergeCell ref="I3:I4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29:I130"/>
    <mergeCell ref="I131:I132"/>
    <mergeCell ref="I133:I134"/>
    <mergeCell ref="I135:I136"/>
    <mergeCell ref="I137:I138"/>
    <mergeCell ref="I139:I140"/>
    <mergeCell ref="I141:I142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I171:I172"/>
    <mergeCell ref="I173:I174"/>
    <mergeCell ref="I175:I176"/>
    <mergeCell ref="I177:I178"/>
    <mergeCell ref="I179:I180"/>
    <mergeCell ref="I181:I182"/>
    <mergeCell ref="I183:I184"/>
    <mergeCell ref="I185:I186"/>
    <mergeCell ref="I187:I188"/>
    <mergeCell ref="I189:I190"/>
    <mergeCell ref="I191:I192"/>
    <mergeCell ref="I193:I194"/>
    <mergeCell ref="I195:I196"/>
    <mergeCell ref="I197:I198"/>
    <mergeCell ref="I199:I200"/>
    <mergeCell ref="I201:I202"/>
    <mergeCell ref="I203:I204"/>
    <mergeCell ref="I205:I206"/>
    <mergeCell ref="I207:I208"/>
    <mergeCell ref="I209:I210"/>
    <mergeCell ref="I211:I212"/>
    <mergeCell ref="I213:I214"/>
    <mergeCell ref="I215:I216"/>
    <mergeCell ref="I217:I218"/>
    <mergeCell ref="I219:I220"/>
    <mergeCell ref="I221:I222"/>
    <mergeCell ref="I223:I224"/>
    <mergeCell ref="I225:I226"/>
    <mergeCell ref="I227:I228"/>
    <mergeCell ref="I229:I230"/>
    <mergeCell ref="I231:I232"/>
    <mergeCell ref="I233:I234"/>
    <mergeCell ref="I235:I236"/>
    <mergeCell ref="I237:I238"/>
    <mergeCell ref="I239:I240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I257:I258"/>
    <mergeCell ref="I259:I260"/>
    <mergeCell ref="I261:I262"/>
    <mergeCell ref="I263:I264"/>
    <mergeCell ref="I265:I266"/>
    <mergeCell ref="I267:I268"/>
    <mergeCell ref="I269:I270"/>
    <mergeCell ref="I271:I272"/>
    <mergeCell ref="I273:I274"/>
    <mergeCell ref="I275:I276"/>
    <mergeCell ref="J3:J4"/>
  </mergeCells>
  <hyperlinks>
    <hyperlink ref="A1" location="目录!A1" display="返回"/>
  </hyperlink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38"/>
  <sheetViews>
    <sheetView workbookViewId="0">
      <pane xSplit="13" ySplit="2" topLeftCell="N99" activePane="bottomRight" state="frozen"/>
      <selection/>
      <selection pane="topRight"/>
      <selection pane="bottomLeft"/>
      <selection pane="bottomRight" activeCell="C104" sqref="A1:AR238"/>
    </sheetView>
  </sheetViews>
  <sheetFormatPr defaultColWidth="9" defaultRowHeight="20" customHeight="1"/>
  <cols>
    <col min="1" max="1" width="4.33333333333333" style="95" hidden="1" customWidth="1"/>
    <col min="2" max="2" width="4.44166666666667" style="96" customWidth="1"/>
    <col min="3" max="3" width="4.88333333333333" style="96" customWidth="1" outlineLevel="1"/>
    <col min="4" max="4" width="5.33333333333333" style="96" customWidth="1"/>
    <col min="5" max="5" width="4.88333333333333" style="96" customWidth="1"/>
    <col min="6" max="6" width="12.775" style="97" customWidth="1"/>
    <col min="7" max="7" width="12.775" style="97" hidden="1" customWidth="1"/>
    <col min="8" max="8" width="9.10833333333333" style="96" customWidth="1"/>
    <col min="9" max="10" width="7.66666666666667" style="96" customWidth="1"/>
    <col min="11" max="11" width="9.375" style="96" customWidth="1"/>
    <col min="12" max="12" width="5.33333333333333" style="96" customWidth="1"/>
    <col min="13" max="13" width="9.375" style="96" customWidth="1"/>
    <col min="14" max="17" width="4.33333333333333" style="96" hidden="1" customWidth="1" outlineLevel="1"/>
    <col min="18" max="21" width="5.55833333333333" style="96" hidden="1" customWidth="1" outlineLevel="1"/>
    <col min="22" max="22" width="4.33333333333333" style="96" hidden="1" customWidth="1" outlineLevel="1"/>
    <col min="23" max="25" width="5.33333333333333" style="96" hidden="1" customWidth="1" outlineLevel="1"/>
    <col min="26" max="28" width="6.66666666666667" style="96" hidden="1" customWidth="1" outlineLevel="1"/>
    <col min="29" max="29" width="6.66666666666667" style="96" customWidth="1" collapsed="1"/>
    <col min="30" max="44" width="6.66666666666667" style="96" customWidth="1"/>
    <col min="45" max="46" width="9" style="96"/>
    <col min="47" max="16384" width="9" style="95"/>
  </cols>
  <sheetData>
    <row r="1" s="95" customFormat="1" customHeight="1" spans="2:46">
      <c r="B1" s="98" t="s">
        <v>590</v>
      </c>
      <c r="C1" s="98"/>
      <c r="D1" s="98"/>
      <c r="E1" s="98"/>
      <c r="F1" s="99"/>
      <c r="G1" s="99"/>
      <c r="H1" s="98"/>
      <c r="I1" s="98"/>
      <c r="J1" s="98"/>
      <c r="K1" s="98"/>
      <c r="L1" s="98"/>
      <c r="M1" s="98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98"/>
      <c r="AD1" s="98"/>
      <c r="AE1" s="98"/>
      <c r="AF1" s="98"/>
      <c r="AG1" s="98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96"/>
      <c r="AT1" s="96"/>
    </row>
    <row r="2" s="95" customFormat="1" customHeight="1" spans="2:44">
      <c r="B2" s="100" t="s">
        <v>285</v>
      </c>
      <c r="C2" s="101" t="s">
        <v>607</v>
      </c>
      <c r="D2" s="101" t="s">
        <v>608</v>
      </c>
      <c r="E2" s="101" t="s">
        <v>393</v>
      </c>
      <c r="F2" s="102" t="s">
        <v>177</v>
      </c>
      <c r="G2" s="102" t="s">
        <v>609</v>
      </c>
      <c r="H2" s="102" t="s">
        <v>591</v>
      </c>
      <c r="I2" s="102" t="s">
        <v>592</v>
      </c>
      <c r="J2" s="102" t="s">
        <v>593</v>
      </c>
      <c r="K2" s="98" t="s">
        <v>594</v>
      </c>
      <c r="L2" s="102" t="s">
        <v>595</v>
      </c>
      <c r="M2" s="102" t="s">
        <v>395</v>
      </c>
      <c r="N2" s="111">
        <v>44378</v>
      </c>
      <c r="O2" s="111">
        <f t="shared" ref="O2:AR2" si="0">+N2+1</f>
        <v>44379</v>
      </c>
      <c r="P2" s="111">
        <f t="shared" si="0"/>
        <v>44380</v>
      </c>
      <c r="Q2" s="111">
        <f t="shared" si="0"/>
        <v>44381</v>
      </c>
      <c r="R2" s="111">
        <f t="shared" si="0"/>
        <v>44382</v>
      </c>
      <c r="S2" s="111">
        <f t="shared" si="0"/>
        <v>44383</v>
      </c>
      <c r="T2" s="111">
        <f t="shared" si="0"/>
        <v>44384</v>
      </c>
      <c r="U2" s="111">
        <f t="shared" si="0"/>
        <v>44385</v>
      </c>
      <c r="V2" s="111">
        <f t="shared" si="0"/>
        <v>44386</v>
      </c>
      <c r="W2" s="111">
        <f t="shared" si="0"/>
        <v>44387</v>
      </c>
      <c r="X2" s="111">
        <f t="shared" si="0"/>
        <v>44388</v>
      </c>
      <c r="Y2" s="111">
        <f t="shared" si="0"/>
        <v>44389</v>
      </c>
      <c r="Z2" s="111">
        <f t="shared" si="0"/>
        <v>44390</v>
      </c>
      <c r="AA2" s="111">
        <f t="shared" si="0"/>
        <v>44391</v>
      </c>
      <c r="AB2" s="111">
        <f t="shared" si="0"/>
        <v>44392</v>
      </c>
      <c r="AC2" s="112">
        <f t="shared" si="0"/>
        <v>44393</v>
      </c>
      <c r="AD2" s="112">
        <f t="shared" si="0"/>
        <v>44394</v>
      </c>
      <c r="AE2" s="112">
        <f t="shared" si="0"/>
        <v>44395</v>
      </c>
      <c r="AF2" s="112">
        <f t="shared" si="0"/>
        <v>44396</v>
      </c>
      <c r="AG2" s="112">
        <f t="shared" si="0"/>
        <v>44397</v>
      </c>
      <c r="AH2" s="111">
        <f t="shared" si="0"/>
        <v>44398</v>
      </c>
      <c r="AI2" s="111">
        <f t="shared" si="0"/>
        <v>44399</v>
      </c>
      <c r="AJ2" s="111">
        <f t="shared" si="0"/>
        <v>44400</v>
      </c>
      <c r="AK2" s="111">
        <f t="shared" si="0"/>
        <v>44401</v>
      </c>
      <c r="AL2" s="111">
        <f t="shared" si="0"/>
        <v>44402</v>
      </c>
      <c r="AM2" s="111">
        <f t="shared" si="0"/>
        <v>44403</v>
      </c>
      <c r="AN2" s="111">
        <f t="shared" si="0"/>
        <v>44404</v>
      </c>
      <c r="AO2" s="111">
        <f t="shared" si="0"/>
        <v>44405</v>
      </c>
      <c r="AP2" s="111">
        <f t="shared" si="0"/>
        <v>44406</v>
      </c>
      <c r="AQ2" s="111">
        <f t="shared" si="0"/>
        <v>44407</v>
      </c>
      <c r="AR2" s="111">
        <f t="shared" si="0"/>
        <v>44408</v>
      </c>
    </row>
    <row r="3" s="95" customFormat="1" customHeight="1" spans="1:44">
      <c r="A3" s="95">
        <v>1</v>
      </c>
      <c r="B3" s="103">
        <v>1</v>
      </c>
      <c r="C3" s="104" t="s">
        <v>54</v>
      </c>
      <c r="D3" s="104" t="s">
        <v>20</v>
      </c>
      <c r="E3" s="105" t="s">
        <v>414</v>
      </c>
      <c r="F3" s="105" t="s">
        <v>66</v>
      </c>
      <c r="G3" s="105"/>
      <c r="H3" s="105">
        <f>SUMIFS([1]报表!$U:$U,[1]报表!$H:$H,F:F)</f>
        <v>3700</v>
      </c>
      <c r="I3" s="105" t="s">
        <v>60</v>
      </c>
      <c r="J3" s="105"/>
      <c r="K3" s="105"/>
      <c r="L3" s="104" t="s">
        <v>597</v>
      </c>
      <c r="M3" s="104" t="s">
        <v>598</v>
      </c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 t="s">
        <v>610</v>
      </c>
      <c r="AB3" s="10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</row>
    <row r="4" s="95" customFormat="1" customHeight="1" spans="1:44">
      <c r="A4" s="95">
        <v>2</v>
      </c>
      <c r="B4" s="103">
        <v>1</v>
      </c>
      <c r="C4" s="104" t="s">
        <v>54</v>
      </c>
      <c r="D4" s="104" t="s">
        <v>20</v>
      </c>
      <c r="E4" s="105" t="s">
        <v>414</v>
      </c>
      <c r="F4" s="105" t="s">
        <v>66</v>
      </c>
      <c r="G4" s="105"/>
      <c r="H4" s="105">
        <f>SUMIFS([1]报表!$U:$U,[1]报表!$H:$H,F:F)</f>
        <v>3700</v>
      </c>
      <c r="I4" s="105" t="s">
        <v>60</v>
      </c>
      <c r="J4" s="105"/>
      <c r="K4" s="105"/>
      <c r="L4" s="104" t="s">
        <v>597</v>
      </c>
      <c r="M4" s="104" t="s">
        <v>599</v>
      </c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</row>
    <row r="5" s="95" customFormat="1" customHeight="1" spans="1:44">
      <c r="A5" s="95">
        <v>3</v>
      </c>
      <c r="B5" s="103">
        <v>1</v>
      </c>
      <c r="C5" s="104" t="s">
        <v>54</v>
      </c>
      <c r="D5" s="104" t="s">
        <v>20</v>
      </c>
      <c r="E5" s="105" t="s">
        <v>414</v>
      </c>
      <c r="F5" s="105" t="s">
        <v>66</v>
      </c>
      <c r="G5" s="105"/>
      <c r="H5" s="105">
        <f>SUMIFS([1]报表!$U:$U,[1]报表!$H:$H,F:F)</f>
        <v>3700</v>
      </c>
      <c r="I5" s="105" t="s">
        <v>60</v>
      </c>
      <c r="J5" s="105"/>
      <c r="K5" s="105"/>
      <c r="L5" s="104" t="s">
        <v>600</v>
      </c>
      <c r="M5" s="104" t="s">
        <v>598</v>
      </c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>
        <v>1000</v>
      </c>
      <c r="AC5" s="103">
        <v>1000</v>
      </c>
      <c r="AD5" s="103">
        <v>1000</v>
      </c>
      <c r="AE5" s="103">
        <v>1000</v>
      </c>
      <c r="AF5" s="103">
        <v>1000</v>
      </c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</row>
    <row r="6" s="95" customFormat="1" customHeight="1" spans="1:44">
      <c r="A6" s="95">
        <v>4</v>
      </c>
      <c r="B6" s="103">
        <v>1</v>
      </c>
      <c r="C6" s="104" t="s">
        <v>54</v>
      </c>
      <c r="D6" s="104" t="s">
        <v>20</v>
      </c>
      <c r="E6" s="105" t="s">
        <v>414</v>
      </c>
      <c r="F6" s="105" t="s">
        <v>66</v>
      </c>
      <c r="G6" s="105"/>
      <c r="H6" s="105">
        <f>SUMIFS([1]报表!$U:$U,[1]报表!$H:$H,F:F)</f>
        <v>3700</v>
      </c>
      <c r="I6" s="105" t="s">
        <v>60</v>
      </c>
      <c r="J6" s="105"/>
      <c r="K6" s="105"/>
      <c r="L6" s="104" t="s">
        <v>600</v>
      </c>
      <c r="M6" s="104" t="s">
        <v>599</v>
      </c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</row>
    <row r="7" s="95" customFormat="1" customHeight="1" spans="1:44">
      <c r="A7" s="95">
        <v>5</v>
      </c>
      <c r="B7" s="103">
        <v>1</v>
      </c>
      <c r="C7" s="104" t="s">
        <v>54</v>
      </c>
      <c r="D7" s="104" t="s">
        <v>20</v>
      </c>
      <c r="E7" s="105" t="s">
        <v>414</v>
      </c>
      <c r="F7" s="105" t="s">
        <v>66</v>
      </c>
      <c r="G7" s="105" t="str">
        <f>_xlfn.DISPIMG("ID_D96E429FC29943849CF37EBC872B9955",1)</f>
        <v>=DISPIMG("ID_D96E429FC29943849CF37EBC872B9955",1)</v>
      </c>
      <c r="H7" s="105">
        <f>SUMIFS([1]报表!$U:$U,[1]报表!$H:$H,F:F)</f>
        <v>3700</v>
      </c>
      <c r="I7" s="105" t="s">
        <v>60</v>
      </c>
      <c r="J7" s="105"/>
      <c r="K7" s="105"/>
      <c r="L7" s="104" t="s">
        <v>601</v>
      </c>
      <c r="M7" s="104" t="s">
        <v>598</v>
      </c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>
        <v>500</v>
      </c>
      <c r="AF7" s="103">
        <v>500</v>
      </c>
      <c r="AG7" s="103">
        <v>500</v>
      </c>
      <c r="AH7" s="103">
        <v>500</v>
      </c>
      <c r="AI7" s="103">
        <v>500</v>
      </c>
      <c r="AJ7" s="103">
        <v>500</v>
      </c>
      <c r="AK7" s="103">
        <v>500</v>
      </c>
      <c r="AL7" s="103">
        <v>500</v>
      </c>
      <c r="AM7" s="103">
        <v>500</v>
      </c>
      <c r="AN7" s="103">
        <v>500</v>
      </c>
      <c r="AO7" s="103">
        <v>500</v>
      </c>
      <c r="AP7" s="113"/>
      <c r="AQ7" s="113"/>
      <c r="AR7" s="113"/>
    </row>
    <row r="8" s="95" customFormat="1" customHeight="1" spans="1:44">
      <c r="A8" s="95">
        <v>6</v>
      </c>
      <c r="B8" s="103">
        <v>1</v>
      </c>
      <c r="C8" s="104" t="s">
        <v>54</v>
      </c>
      <c r="D8" s="104" t="s">
        <v>20</v>
      </c>
      <c r="E8" s="105" t="s">
        <v>414</v>
      </c>
      <c r="F8" s="106" t="s">
        <v>66</v>
      </c>
      <c r="G8" s="103"/>
      <c r="H8" s="105">
        <f>SUMIFS([1]报表!$U:$U,[1]报表!$H:$H,F:F)</f>
        <v>3700</v>
      </c>
      <c r="I8" s="105" t="s">
        <v>60</v>
      </c>
      <c r="J8" s="105"/>
      <c r="K8" s="105"/>
      <c r="L8" s="104" t="s">
        <v>601</v>
      </c>
      <c r="M8" s="104" t="s">
        <v>599</v>
      </c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</row>
    <row r="9" s="96" customFormat="1" customHeight="1" spans="1:44">
      <c r="A9" s="95">
        <v>7</v>
      </c>
      <c r="B9" s="103">
        <v>2</v>
      </c>
      <c r="C9" s="104" t="s">
        <v>54</v>
      </c>
      <c r="D9" s="104" t="s">
        <v>20</v>
      </c>
      <c r="E9" s="105" t="s">
        <v>414</v>
      </c>
      <c r="F9" s="105" t="s">
        <v>67</v>
      </c>
      <c r="G9" s="105"/>
      <c r="H9" s="105">
        <f>SUMIFS([1]报表!$U:$U,[1]报表!$H:$H,F:F)</f>
        <v>6600</v>
      </c>
      <c r="I9" s="105" t="s">
        <v>60</v>
      </c>
      <c r="J9" s="105"/>
      <c r="K9" s="105"/>
      <c r="L9" s="104" t="s">
        <v>597</v>
      </c>
      <c r="M9" s="104" t="s">
        <v>598</v>
      </c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 t="s">
        <v>610</v>
      </c>
      <c r="AB9" s="10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</row>
    <row r="10" s="96" customFormat="1" customHeight="1" spans="1:44">
      <c r="A10" s="95">
        <v>8</v>
      </c>
      <c r="B10" s="103">
        <v>2</v>
      </c>
      <c r="C10" s="104" t="s">
        <v>54</v>
      </c>
      <c r="D10" s="104" t="s">
        <v>20</v>
      </c>
      <c r="E10" s="105" t="s">
        <v>414</v>
      </c>
      <c r="F10" s="105" t="s">
        <v>67</v>
      </c>
      <c r="G10" s="105"/>
      <c r="H10" s="105">
        <f>SUMIFS([1]报表!$U:$U,[1]报表!$H:$H,F:F)</f>
        <v>6600</v>
      </c>
      <c r="I10" s="105" t="s">
        <v>60</v>
      </c>
      <c r="J10" s="105"/>
      <c r="K10" s="105"/>
      <c r="L10" s="104" t="str">
        <f>L9</f>
        <v>压铸</v>
      </c>
      <c r="M10" s="104" t="s">
        <v>599</v>
      </c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</row>
    <row r="11" s="96" customFormat="1" customHeight="1" spans="1:44">
      <c r="A11" s="95">
        <v>9</v>
      </c>
      <c r="B11" s="103">
        <v>2</v>
      </c>
      <c r="C11" s="104" t="s">
        <v>54</v>
      </c>
      <c r="D11" s="104" t="s">
        <v>20</v>
      </c>
      <c r="E11" s="105" t="s">
        <v>414</v>
      </c>
      <c r="F11" s="105" t="s">
        <v>67</v>
      </c>
      <c r="G11" s="105"/>
      <c r="H11" s="105">
        <f>SUMIFS([1]报表!$U:$U,[1]报表!$H:$H,F:F)</f>
        <v>6600</v>
      </c>
      <c r="I11" s="105" t="s">
        <v>60</v>
      </c>
      <c r="J11" s="105"/>
      <c r="K11" s="105"/>
      <c r="L11" s="104" t="s">
        <v>600</v>
      </c>
      <c r="M11" s="104" t="s">
        <v>598</v>
      </c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 t="s">
        <v>611</v>
      </c>
      <c r="AB11" s="10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</row>
    <row r="12" s="96" customFormat="1" customHeight="1" spans="1:44">
      <c r="A12" s="95">
        <v>10</v>
      </c>
      <c r="B12" s="103">
        <v>2</v>
      </c>
      <c r="C12" s="104" t="s">
        <v>54</v>
      </c>
      <c r="D12" s="104" t="s">
        <v>20</v>
      </c>
      <c r="E12" s="105" t="s">
        <v>414</v>
      </c>
      <c r="F12" s="105" t="s">
        <v>67</v>
      </c>
      <c r="G12" s="105"/>
      <c r="H12" s="105">
        <f>SUMIFS([1]报表!$U:$U,[1]报表!$H:$H,F:F)</f>
        <v>6600</v>
      </c>
      <c r="I12" s="105" t="s">
        <v>60</v>
      </c>
      <c r="J12" s="105"/>
      <c r="K12" s="105"/>
      <c r="L12" s="104" t="str">
        <f>L11</f>
        <v>机加</v>
      </c>
      <c r="M12" s="104" t="s">
        <v>599</v>
      </c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</row>
    <row r="13" s="96" customFormat="1" customHeight="1" spans="1:44">
      <c r="A13" s="95">
        <v>11</v>
      </c>
      <c r="B13" s="103">
        <v>2</v>
      </c>
      <c r="C13" s="104" t="s">
        <v>54</v>
      </c>
      <c r="D13" s="104" t="s">
        <v>20</v>
      </c>
      <c r="E13" s="105" t="s">
        <v>414</v>
      </c>
      <c r="F13" s="105" t="s">
        <v>67</v>
      </c>
      <c r="G13" s="105" t="str">
        <f>_xlfn.DISPIMG("ID_3906EEEDD09441DAAA39D6593024CBC2",1)</f>
        <v>=DISPIMG("ID_3906EEEDD09441DAAA39D6593024CBC2",1)</v>
      </c>
      <c r="H13" s="105">
        <f>SUMIFS([1]报表!$U:$U,[1]报表!$H:$H,F:F)</f>
        <v>6600</v>
      </c>
      <c r="I13" s="105" t="s">
        <v>60</v>
      </c>
      <c r="J13" s="105"/>
      <c r="K13" s="105"/>
      <c r="L13" s="104" t="s">
        <v>601</v>
      </c>
      <c r="M13" s="104" t="s">
        <v>598</v>
      </c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 t="s">
        <v>612</v>
      </c>
      <c r="AC13" s="103"/>
      <c r="AD13" s="103"/>
      <c r="AE13" s="103"/>
      <c r="AF13" s="103"/>
      <c r="AG13" s="103"/>
      <c r="AH13" s="103"/>
      <c r="AI13" s="103"/>
      <c r="AJ13" s="113"/>
      <c r="AK13" s="113"/>
      <c r="AL13" s="113"/>
      <c r="AM13" s="113"/>
      <c r="AN13" s="113"/>
      <c r="AO13" s="113"/>
      <c r="AP13" s="113"/>
      <c r="AQ13" s="113"/>
      <c r="AR13" s="113"/>
    </row>
    <row r="14" s="96" customFormat="1" customHeight="1" spans="1:44">
      <c r="A14" s="95">
        <v>12</v>
      </c>
      <c r="B14" s="103">
        <v>2</v>
      </c>
      <c r="C14" s="104" t="s">
        <v>54</v>
      </c>
      <c r="D14" s="104" t="s">
        <v>20</v>
      </c>
      <c r="E14" s="103" t="s">
        <v>414</v>
      </c>
      <c r="F14" s="106" t="s">
        <v>67</v>
      </c>
      <c r="G14" s="103"/>
      <c r="H14" s="105">
        <f>SUMIFS([1]报表!$U:$U,[1]报表!$H:$H,F:F)</f>
        <v>6600</v>
      </c>
      <c r="I14" s="105" t="s">
        <v>60</v>
      </c>
      <c r="J14" s="105"/>
      <c r="K14" s="105"/>
      <c r="L14" s="103" t="str">
        <f>L13</f>
        <v>磨抛</v>
      </c>
      <c r="M14" s="104" t="s">
        <v>599</v>
      </c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</row>
    <row r="15" s="96" customFormat="1" customHeight="1" spans="1:44">
      <c r="A15" s="95">
        <v>13</v>
      </c>
      <c r="B15" s="103">
        <v>3</v>
      </c>
      <c r="C15" s="104" t="s">
        <v>54</v>
      </c>
      <c r="D15" s="104" t="s">
        <v>20</v>
      </c>
      <c r="E15" s="105" t="s">
        <v>414</v>
      </c>
      <c r="F15" s="105" t="s">
        <v>68</v>
      </c>
      <c r="G15" s="105"/>
      <c r="H15" s="105">
        <f>SUMIFS([1]报表!$U:$U,[1]报表!$H:$H,F:F)</f>
        <v>4800</v>
      </c>
      <c r="I15" s="105" t="s">
        <v>60</v>
      </c>
      <c r="J15" s="105"/>
      <c r="K15" s="105"/>
      <c r="L15" s="104" t="s">
        <v>597</v>
      </c>
      <c r="M15" s="104" t="s">
        <v>598</v>
      </c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>
        <v>4800</v>
      </c>
      <c r="AB15" s="10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</row>
    <row r="16" s="96" customFormat="1" customHeight="1" spans="1:44">
      <c r="A16" s="95">
        <v>14</v>
      </c>
      <c r="B16" s="103">
        <v>3</v>
      </c>
      <c r="C16" s="104" t="s">
        <v>54</v>
      </c>
      <c r="D16" s="104" t="s">
        <v>20</v>
      </c>
      <c r="E16" s="105" t="s">
        <v>414</v>
      </c>
      <c r="F16" s="105" t="s">
        <v>68</v>
      </c>
      <c r="G16" s="105"/>
      <c r="H16" s="105">
        <f>SUMIFS([1]报表!$U:$U,[1]报表!$H:$H,F:F)</f>
        <v>4800</v>
      </c>
      <c r="I16" s="105" t="s">
        <v>60</v>
      </c>
      <c r="J16" s="105"/>
      <c r="K16" s="105"/>
      <c r="L16" s="104" t="str">
        <f>L15</f>
        <v>压铸</v>
      </c>
      <c r="M16" s="104" t="s">
        <v>599</v>
      </c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</row>
    <row r="17" s="96" customFormat="1" customHeight="1" spans="1:44">
      <c r="A17" s="95">
        <v>15</v>
      </c>
      <c r="B17" s="103">
        <v>3</v>
      </c>
      <c r="C17" s="104" t="s">
        <v>54</v>
      </c>
      <c r="D17" s="104" t="s">
        <v>20</v>
      </c>
      <c r="E17" s="105" t="s">
        <v>414</v>
      </c>
      <c r="F17" s="105" t="s">
        <v>68</v>
      </c>
      <c r="G17" s="105"/>
      <c r="H17" s="105">
        <f>SUMIFS([1]报表!$U:$U,[1]报表!$H:$H,F:F)</f>
        <v>4800</v>
      </c>
      <c r="I17" s="105" t="s">
        <v>60</v>
      </c>
      <c r="J17" s="105"/>
      <c r="K17" s="105"/>
      <c r="L17" s="104" t="s">
        <v>600</v>
      </c>
      <c r="M17" s="104" t="s">
        <v>598</v>
      </c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>
        <v>500</v>
      </c>
      <c r="AC17" s="103">
        <v>500</v>
      </c>
      <c r="AD17" s="103">
        <v>500</v>
      </c>
      <c r="AE17" s="103">
        <v>500</v>
      </c>
      <c r="AF17" s="103">
        <v>500</v>
      </c>
      <c r="AG17" s="103">
        <v>500</v>
      </c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</row>
    <row r="18" s="96" customFormat="1" customHeight="1" spans="1:44">
      <c r="A18" s="95">
        <v>16</v>
      </c>
      <c r="B18" s="103">
        <v>3</v>
      </c>
      <c r="C18" s="104" t="s">
        <v>54</v>
      </c>
      <c r="D18" s="104" t="s">
        <v>20</v>
      </c>
      <c r="E18" s="105" t="s">
        <v>414</v>
      </c>
      <c r="F18" s="105" t="s">
        <v>68</v>
      </c>
      <c r="G18" s="105"/>
      <c r="H18" s="105">
        <f>SUMIFS([1]报表!$U:$U,[1]报表!$H:$H,F:F)</f>
        <v>4800</v>
      </c>
      <c r="I18" s="105" t="s">
        <v>60</v>
      </c>
      <c r="J18" s="105"/>
      <c r="K18" s="105"/>
      <c r="L18" s="104" t="str">
        <f>L17</f>
        <v>机加</v>
      </c>
      <c r="M18" s="104" t="s">
        <v>599</v>
      </c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</row>
    <row r="19" s="96" customFormat="1" customHeight="1" spans="1:44">
      <c r="A19" s="95">
        <v>17</v>
      </c>
      <c r="B19" s="103">
        <v>3</v>
      </c>
      <c r="C19" s="104" t="s">
        <v>54</v>
      </c>
      <c r="D19" s="104" t="s">
        <v>20</v>
      </c>
      <c r="E19" s="105" t="s">
        <v>414</v>
      </c>
      <c r="F19" s="105" t="s">
        <v>68</v>
      </c>
      <c r="G19" s="105" t="str">
        <f>_xlfn.DISPIMG("ID_53F781FF93E34B0BAF73399951E4255E",1)</f>
        <v>=DISPIMG("ID_53F781FF93E34B0BAF73399951E4255E",1)</v>
      </c>
      <c r="H19" s="105">
        <f>SUMIFS([1]报表!$U:$U,[1]报表!$H:$H,F:F)</f>
        <v>4800</v>
      </c>
      <c r="I19" s="105" t="s">
        <v>60</v>
      </c>
      <c r="J19" s="105"/>
      <c r="K19" s="105"/>
      <c r="L19" s="104" t="s">
        <v>601</v>
      </c>
      <c r="M19" s="104" t="s">
        <v>598</v>
      </c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>
        <v>500</v>
      </c>
      <c r="AG19" s="103">
        <v>500</v>
      </c>
      <c r="AH19" s="103">
        <v>500</v>
      </c>
      <c r="AI19" s="103">
        <v>500</v>
      </c>
      <c r="AJ19" s="103">
        <v>500</v>
      </c>
      <c r="AK19" s="103">
        <v>500</v>
      </c>
      <c r="AL19" s="103">
        <v>500</v>
      </c>
      <c r="AM19" s="103">
        <v>500</v>
      </c>
      <c r="AN19" s="103">
        <v>500</v>
      </c>
      <c r="AO19" s="103">
        <v>500</v>
      </c>
      <c r="AP19" s="103">
        <v>500</v>
      </c>
      <c r="AQ19" s="103">
        <v>500</v>
      </c>
      <c r="AR19" s="113"/>
    </row>
    <row r="20" s="96" customFormat="1" customHeight="1" spans="1:44">
      <c r="A20" s="95">
        <v>18</v>
      </c>
      <c r="B20" s="103">
        <v>3</v>
      </c>
      <c r="C20" s="104" t="s">
        <v>54</v>
      </c>
      <c r="D20" s="104" t="s">
        <v>20</v>
      </c>
      <c r="E20" s="103" t="s">
        <v>414</v>
      </c>
      <c r="F20" s="106" t="s">
        <v>68</v>
      </c>
      <c r="G20" s="103"/>
      <c r="H20" s="105">
        <f>SUMIFS([1]报表!$U:$U,[1]报表!$H:$H,F:F)</f>
        <v>4800</v>
      </c>
      <c r="I20" s="105" t="s">
        <v>60</v>
      </c>
      <c r="J20" s="105"/>
      <c r="K20" s="105"/>
      <c r="L20" s="103" t="str">
        <f>L19</f>
        <v>磨抛</v>
      </c>
      <c r="M20" s="104" t="s">
        <v>599</v>
      </c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</row>
    <row r="21" s="96" customFormat="1" customHeight="1" spans="1:44">
      <c r="A21" s="95">
        <v>19</v>
      </c>
      <c r="B21" s="103">
        <v>4</v>
      </c>
      <c r="C21" s="104" t="s">
        <v>54</v>
      </c>
      <c r="D21" s="104" t="s">
        <v>20</v>
      </c>
      <c r="E21" s="105" t="s">
        <v>414</v>
      </c>
      <c r="F21" s="105" t="s">
        <v>69</v>
      </c>
      <c r="G21" s="105"/>
      <c r="H21" s="105">
        <f>SUMIFS([1]报表!$U:$U,[1]报表!$H:$H,F:F)</f>
        <v>8604</v>
      </c>
      <c r="I21" s="105" t="s">
        <v>60</v>
      </c>
      <c r="J21" s="105"/>
      <c r="K21" s="105"/>
      <c r="L21" s="104" t="s">
        <v>597</v>
      </c>
      <c r="M21" s="104" t="s">
        <v>598</v>
      </c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 t="s">
        <v>610</v>
      </c>
      <c r="AA21" s="103"/>
      <c r="AB21" s="10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</row>
    <row r="22" s="96" customFormat="1" customHeight="1" spans="1:44">
      <c r="A22" s="95">
        <v>20</v>
      </c>
      <c r="B22" s="103">
        <v>4</v>
      </c>
      <c r="C22" s="104" t="s">
        <v>54</v>
      </c>
      <c r="D22" s="104" t="s">
        <v>20</v>
      </c>
      <c r="E22" s="105" t="s">
        <v>414</v>
      </c>
      <c r="F22" s="105" t="s">
        <v>69</v>
      </c>
      <c r="G22" s="105"/>
      <c r="H22" s="105">
        <f>SUMIFS([1]报表!$U:$U,[1]报表!$H:$H,F:F)</f>
        <v>8604</v>
      </c>
      <c r="I22" s="105" t="s">
        <v>60</v>
      </c>
      <c r="J22" s="105"/>
      <c r="K22" s="105"/>
      <c r="L22" s="104" t="str">
        <f>L21</f>
        <v>压铸</v>
      </c>
      <c r="M22" s="104" t="s">
        <v>599</v>
      </c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</row>
    <row r="23" s="96" customFormat="1" customHeight="1" spans="1:44">
      <c r="A23" s="95">
        <v>21</v>
      </c>
      <c r="B23" s="103">
        <v>4</v>
      </c>
      <c r="C23" s="104" t="s">
        <v>54</v>
      </c>
      <c r="D23" s="104" t="s">
        <v>20</v>
      </c>
      <c r="E23" s="105" t="s">
        <v>414</v>
      </c>
      <c r="F23" s="105" t="s">
        <v>69</v>
      </c>
      <c r="G23" s="105"/>
      <c r="H23" s="105">
        <f>SUMIFS([1]报表!$U:$U,[1]报表!$H:$H,F:F)</f>
        <v>8604</v>
      </c>
      <c r="I23" s="105" t="s">
        <v>60</v>
      </c>
      <c r="J23" s="105"/>
      <c r="K23" s="105"/>
      <c r="L23" s="104" t="s">
        <v>600</v>
      </c>
      <c r="M23" s="104" t="s">
        <v>598</v>
      </c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>
        <v>1600</v>
      </c>
      <c r="AA23" s="103">
        <v>1600</v>
      </c>
      <c r="AB23" s="103">
        <v>1600</v>
      </c>
      <c r="AC23" s="103">
        <v>1600</v>
      </c>
      <c r="AD23" s="103">
        <v>1600</v>
      </c>
      <c r="AE23" s="103">
        <v>1600</v>
      </c>
      <c r="AF23" s="103">
        <v>1600</v>
      </c>
      <c r="AG23" s="103">
        <v>1600</v>
      </c>
      <c r="AH23" s="103">
        <v>1600</v>
      </c>
      <c r="AI23" s="103">
        <v>1600</v>
      </c>
      <c r="AJ23" s="103">
        <v>1600</v>
      </c>
      <c r="AK23" s="103">
        <v>1600</v>
      </c>
      <c r="AL23" s="103"/>
      <c r="AM23" s="103"/>
      <c r="AN23" s="103"/>
      <c r="AO23" s="103"/>
      <c r="AP23" s="103"/>
      <c r="AQ23" s="103"/>
      <c r="AR23" s="103"/>
    </row>
    <row r="24" s="96" customFormat="1" customHeight="1" spans="1:44">
      <c r="A24" s="95">
        <v>22</v>
      </c>
      <c r="B24" s="103">
        <v>4</v>
      </c>
      <c r="C24" s="104" t="s">
        <v>54</v>
      </c>
      <c r="D24" s="104" t="s">
        <v>20</v>
      </c>
      <c r="E24" s="105" t="s">
        <v>414</v>
      </c>
      <c r="F24" s="105" t="s">
        <v>69</v>
      </c>
      <c r="G24" s="105"/>
      <c r="H24" s="105">
        <f>SUMIFS([1]报表!$U:$U,[1]报表!$H:$H,F:F)</f>
        <v>8604</v>
      </c>
      <c r="I24" s="105" t="s">
        <v>60</v>
      </c>
      <c r="J24" s="105"/>
      <c r="K24" s="105"/>
      <c r="L24" s="104" t="str">
        <f>L23</f>
        <v>机加</v>
      </c>
      <c r="M24" s="104" t="s">
        <v>599</v>
      </c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</row>
    <row r="25" s="96" customFormat="1" customHeight="1" spans="1:44">
      <c r="A25" s="95">
        <v>23</v>
      </c>
      <c r="B25" s="103">
        <v>4</v>
      </c>
      <c r="C25" s="104" t="s">
        <v>54</v>
      </c>
      <c r="D25" s="104" t="s">
        <v>20</v>
      </c>
      <c r="E25" s="105" t="s">
        <v>414</v>
      </c>
      <c r="F25" s="105" t="s">
        <v>69</v>
      </c>
      <c r="G25" s="105" t="str">
        <f>_xlfn.DISPIMG("ID_EC06DF4623344B4596C779F41B6D2575",1)</f>
        <v>=DISPIMG("ID_EC06DF4623344B4596C779F41B6D2575",1)</v>
      </c>
      <c r="H25" s="105">
        <f>SUMIFS([1]报表!$U:$U,[1]报表!$H:$H,F:F)</f>
        <v>8604</v>
      </c>
      <c r="I25" s="105" t="s">
        <v>60</v>
      </c>
      <c r="J25" s="105"/>
      <c r="K25" s="105"/>
      <c r="L25" s="104" t="s">
        <v>601</v>
      </c>
      <c r="M25" s="104" t="s">
        <v>598</v>
      </c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>
        <v>1000</v>
      </c>
      <c r="AA25" s="103">
        <v>1000</v>
      </c>
      <c r="AB25" s="103">
        <v>1000</v>
      </c>
      <c r="AC25" s="103">
        <v>1000</v>
      </c>
      <c r="AD25" s="103">
        <v>1000</v>
      </c>
      <c r="AE25" s="103">
        <v>1000</v>
      </c>
      <c r="AF25" s="103">
        <v>1000</v>
      </c>
      <c r="AG25" s="103">
        <v>1000</v>
      </c>
      <c r="AH25" s="103">
        <v>1000</v>
      </c>
      <c r="AI25" s="103">
        <v>1000</v>
      </c>
      <c r="AJ25" s="103">
        <v>1000</v>
      </c>
      <c r="AK25" s="103">
        <v>1000</v>
      </c>
      <c r="AL25" s="103">
        <v>1000</v>
      </c>
      <c r="AM25" s="103">
        <v>1000</v>
      </c>
      <c r="AN25" s="103">
        <v>1000</v>
      </c>
      <c r="AO25" s="103">
        <v>1000</v>
      </c>
      <c r="AP25" s="103">
        <v>1000</v>
      </c>
      <c r="AQ25" s="103">
        <v>1000</v>
      </c>
      <c r="AR25" s="113"/>
    </row>
    <row r="26" s="96" customFormat="1" customHeight="1" spans="1:44">
      <c r="A26" s="95">
        <v>24</v>
      </c>
      <c r="B26" s="103">
        <v>4</v>
      </c>
      <c r="C26" s="104" t="s">
        <v>54</v>
      </c>
      <c r="D26" s="104" t="s">
        <v>20</v>
      </c>
      <c r="E26" s="103" t="s">
        <v>414</v>
      </c>
      <c r="F26" s="106" t="s">
        <v>69</v>
      </c>
      <c r="G26" s="103"/>
      <c r="H26" s="105">
        <f>SUMIFS([1]报表!$U:$U,[1]报表!$H:$H,F:F)</f>
        <v>8604</v>
      </c>
      <c r="I26" s="105" t="s">
        <v>60</v>
      </c>
      <c r="J26" s="105"/>
      <c r="K26" s="105"/>
      <c r="L26" s="103" t="str">
        <f>L25</f>
        <v>磨抛</v>
      </c>
      <c r="M26" s="104" t="s">
        <v>599</v>
      </c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</row>
    <row r="27" s="95" customFormat="1" customHeight="1" spans="1:44">
      <c r="A27" s="95">
        <v>25</v>
      </c>
      <c r="B27" s="103">
        <v>1</v>
      </c>
      <c r="C27" s="104" t="s">
        <v>24</v>
      </c>
      <c r="D27" s="104" t="s">
        <v>20</v>
      </c>
      <c r="E27" s="105" t="s">
        <v>414</v>
      </c>
      <c r="F27" s="105" t="s">
        <v>91</v>
      </c>
      <c r="G27" s="105"/>
      <c r="H27" s="105">
        <f>SUMIFS([1]报表!$U:$U,[1]报表!$H:$H,F:F)</f>
        <v>1614</v>
      </c>
      <c r="I27" s="105" t="s">
        <v>60</v>
      </c>
      <c r="J27" s="105"/>
      <c r="K27" s="105"/>
      <c r="L27" s="104" t="s">
        <v>597</v>
      </c>
      <c r="M27" s="104" t="s">
        <v>598</v>
      </c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 t="s">
        <v>610</v>
      </c>
      <c r="AA27" s="103"/>
      <c r="AB27" s="10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</row>
    <row r="28" s="95" customFormat="1" customHeight="1" spans="1:44">
      <c r="A28" s="95">
        <v>26</v>
      </c>
      <c r="B28" s="103">
        <v>1</v>
      </c>
      <c r="C28" s="104" t="s">
        <v>24</v>
      </c>
      <c r="D28" s="104" t="s">
        <v>20</v>
      </c>
      <c r="E28" s="105" t="s">
        <v>414</v>
      </c>
      <c r="F28" s="105" t="s">
        <v>91</v>
      </c>
      <c r="G28" s="105"/>
      <c r="H28" s="105">
        <f>SUMIFS([1]报表!$U:$U,[1]报表!$H:$H,F:F)</f>
        <v>1614</v>
      </c>
      <c r="I28" s="105" t="s">
        <v>60</v>
      </c>
      <c r="J28" s="105"/>
      <c r="K28" s="105"/>
      <c r="L28" s="104" t="str">
        <f>L27</f>
        <v>压铸</v>
      </c>
      <c r="M28" s="104" t="s">
        <v>599</v>
      </c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</row>
    <row r="29" s="95" customFormat="1" customHeight="1" spans="1:44">
      <c r="A29" s="95">
        <v>27</v>
      </c>
      <c r="B29" s="103">
        <v>1</v>
      </c>
      <c r="C29" s="104" t="s">
        <v>24</v>
      </c>
      <c r="D29" s="104" t="s">
        <v>20</v>
      </c>
      <c r="E29" s="105" t="s">
        <v>414</v>
      </c>
      <c r="F29" s="105" t="s">
        <v>91</v>
      </c>
      <c r="G29" s="105"/>
      <c r="H29" s="105">
        <f>SUMIFS([1]报表!$U:$U,[1]报表!$H:$H,F:F)</f>
        <v>1614</v>
      </c>
      <c r="I29" s="105" t="s">
        <v>60</v>
      </c>
      <c r="J29" s="105"/>
      <c r="K29" s="105"/>
      <c r="L29" s="104" t="s">
        <v>600</v>
      </c>
      <c r="M29" s="104" t="s">
        <v>598</v>
      </c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13"/>
      <c r="AD29" s="113"/>
      <c r="AE29" s="113"/>
      <c r="AF29" s="103">
        <v>400</v>
      </c>
      <c r="AG29" s="103">
        <v>400</v>
      </c>
      <c r="AH29" s="103">
        <v>400</v>
      </c>
      <c r="AI29" s="103"/>
      <c r="AJ29" s="103"/>
      <c r="AK29" s="103"/>
      <c r="AL29" s="103"/>
      <c r="AM29" s="103"/>
      <c r="AN29" s="103"/>
      <c r="AO29" s="103"/>
      <c r="AP29" s="103"/>
      <c r="AQ29" s="103"/>
      <c r="AR29" s="113"/>
    </row>
    <row r="30" s="95" customFormat="1" customHeight="1" spans="1:44">
      <c r="A30" s="95">
        <v>28</v>
      </c>
      <c r="B30" s="103">
        <v>1</v>
      </c>
      <c r="C30" s="104" t="s">
        <v>24</v>
      </c>
      <c r="D30" s="104" t="s">
        <v>20</v>
      </c>
      <c r="E30" s="105" t="s">
        <v>414</v>
      </c>
      <c r="F30" s="105" t="s">
        <v>91</v>
      </c>
      <c r="G30" s="105"/>
      <c r="H30" s="105">
        <f>SUMIFS([1]报表!$U:$U,[1]报表!$H:$H,F:F)</f>
        <v>1614</v>
      </c>
      <c r="I30" s="105" t="s">
        <v>60</v>
      </c>
      <c r="J30" s="105"/>
      <c r="K30" s="105"/>
      <c r="L30" s="104" t="str">
        <f>L29</f>
        <v>机加</v>
      </c>
      <c r="M30" s="104" t="s">
        <v>599</v>
      </c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13"/>
      <c r="AD30" s="113"/>
      <c r="AE30" s="11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13"/>
    </row>
    <row r="31" s="95" customFormat="1" customHeight="1" spans="1:44">
      <c r="A31" s="95">
        <v>29</v>
      </c>
      <c r="B31" s="103">
        <v>1</v>
      </c>
      <c r="C31" s="104" t="s">
        <v>24</v>
      </c>
      <c r="D31" s="104" t="s">
        <v>20</v>
      </c>
      <c r="E31" s="105" t="s">
        <v>414</v>
      </c>
      <c r="F31" s="105" t="s">
        <v>91</v>
      </c>
      <c r="G31" s="105" t="str">
        <f>_xlfn.DISPIMG("ID_9329888B5FBA4A058C902B4C5F4373BB",1)</f>
        <v>=DISPIMG("ID_9329888B5FBA4A058C902B4C5F4373BB",1)</v>
      </c>
      <c r="H31" s="105">
        <f>SUMIFS([1]报表!$U:$U,[1]报表!$H:$H,F:F)</f>
        <v>1614</v>
      </c>
      <c r="I31" s="105" t="s">
        <v>60</v>
      </c>
      <c r="J31" s="105"/>
      <c r="K31" s="105"/>
      <c r="L31" s="104" t="s">
        <v>601</v>
      </c>
      <c r="M31" s="104" t="s">
        <v>598</v>
      </c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>
        <v>1000</v>
      </c>
      <c r="AJ31" s="103">
        <v>600</v>
      </c>
      <c r="AK31" s="103"/>
      <c r="AL31" s="103"/>
      <c r="AM31" s="103"/>
      <c r="AN31" s="103"/>
      <c r="AO31" s="103"/>
      <c r="AP31" s="103"/>
      <c r="AQ31" s="103"/>
      <c r="AR31" s="113"/>
    </row>
    <row r="32" s="95" customFormat="1" customHeight="1" spans="1:44">
      <c r="A32" s="95">
        <v>30</v>
      </c>
      <c r="B32" s="103">
        <v>1</v>
      </c>
      <c r="C32" s="104" t="s">
        <v>24</v>
      </c>
      <c r="D32" s="104" t="s">
        <v>20</v>
      </c>
      <c r="E32" s="103" t="s">
        <v>414</v>
      </c>
      <c r="F32" s="106" t="s">
        <v>91</v>
      </c>
      <c r="G32" s="103"/>
      <c r="H32" s="105">
        <f>SUMIFS([1]报表!$U:$U,[1]报表!$H:$H,F:F)</f>
        <v>1614</v>
      </c>
      <c r="I32" s="105" t="s">
        <v>60</v>
      </c>
      <c r="J32" s="105"/>
      <c r="K32" s="105"/>
      <c r="L32" s="103" t="str">
        <f>L31</f>
        <v>磨抛</v>
      </c>
      <c r="M32" s="104" t="s">
        <v>599</v>
      </c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</row>
    <row r="33" s="96" customFormat="1" customHeight="1" spans="1:44">
      <c r="A33" s="95">
        <v>31</v>
      </c>
      <c r="B33" s="103">
        <v>1</v>
      </c>
      <c r="C33" s="104" t="s">
        <v>24</v>
      </c>
      <c r="D33" s="104" t="s">
        <v>20</v>
      </c>
      <c r="E33" s="105" t="s">
        <v>414</v>
      </c>
      <c r="F33" s="105" t="s">
        <v>92</v>
      </c>
      <c r="G33" s="105"/>
      <c r="H33" s="105">
        <f>SUMIFS([1]报表!$U:$U,[1]报表!$H:$H,F:F)</f>
        <v>4880</v>
      </c>
      <c r="I33" s="105" t="s">
        <v>60</v>
      </c>
      <c r="J33" s="105"/>
      <c r="K33" s="105"/>
      <c r="L33" s="104" t="s">
        <v>597</v>
      </c>
      <c r="M33" s="104" t="s">
        <v>598</v>
      </c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 t="s">
        <v>610</v>
      </c>
      <c r="AA33" s="103"/>
      <c r="AB33" s="10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</row>
    <row r="34" s="96" customFormat="1" customHeight="1" spans="1:44">
      <c r="A34" s="95">
        <v>32</v>
      </c>
      <c r="B34" s="103">
        <v>1</v>
      </c>
      <c r="C34" s="104" t="s">
        <v>24</v>
      </c>
      <c r="D34" s="104" t="s">
        <v>20</v>
      </c>
      <c r="E34" s="105" t="s">
        <v>414</v>
      </c>
      <c r="F34" s="105" t="s">
        <v>92</v>
      </c>
      <c r="G34" s="105"/>
      <c r="H34" s="105">
        <f>SUMIFS([1]报表!$U:$U,[1]报表!$H:$H,F:F)</f>
        <v>4880</v>
      </c>
      <c r="I34" s="105" t="s">
        <v>60</v>
      </c>
      <c r="J34" s="105"/>
      <c r="K34" s="105"/>
      <c r="L34" s="104" t="str">
        <f>L33</f>
        <v>压铸</v>
      </c>
      <c r="M34" s="104" t="s">
        <v>599</v>
      </c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</row>
    <row r="35" s="96" customFormat="1" customHeight="1" spans="1:44">
      <c r="A35" s="95">
        <v>33</v>
      </c>
      <c r="B35" s="103">
        <v>1</v>
      </c>
      <c r="C35" s="104" t="s">
        <v>24</v>
      </c>
      <c r="D35" s="104" t="s">
        <v>20</v>
      </c>
      <c r="E35" s="105" t="s">
        <v>414</v>
      </c>
      <c r="F35" s="105" t="s">
        <v>92</v>
      </c>
      <c r="G35" s="105"/>
      <c r="H35" s="105">
        <f>SUMIFS([1]报表!$U:$U,[1]报表!$H:$H,F:F)</f>
        <v>4880</v>
      </c>
      <c r="I35" s="105" t="s">
        <v>60</v>
      </c>
      <c r="J35" s="105"/>
      <c r="K35" s="105"/>
      <c r="L35" s="104" t="s">
        <v>600</v>
      </c>
      <c r="M35" s="104" t="s">
        <v>598</v>
      </c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 t="s">
        <v>611</v>
      </c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13"/>
    </row>
    <row r="36" s="96" customFormat="1" customHeight="1" spans="1:44">
      <c r="A36" s="95">
        <v>34</v>
      </c>
      <c r="B36" s="103">
        <v>1</v>
      </c>
      <c r="C36" s="104" t="s">
        <v>24</v>
      </c>
      <c r="D36" s="104" t="s">
        <v>20</v>
      </c>
      <c r="E36" s="105" t="s">
        <v>414</v>
      </c>
      <c r="F36" s="105" t="s">
        <v>92</v>
      </c>
      <c r="G36" s="105"/>
      <c r="H36" s="105">
        <f>SUMIFS([1]报表!$U:$U,[1]报表!$H:$H,F:F)</f>
        <v>4880</v>
      </c>
      <c r="I36" s="105" t="s">
        <v>60</v>
      </c>
      <c r="J36" s="105"/>
      <c r="K36" s="105"/>
      <c r="L36" s="104" t="str">
        <f>L35</f>
        <v>机加</v>
      </c>
      <c r="M36" s="104" t="s">
        <v>599</v>
      </c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13"/>
    </row>
    <row r="37" s="96" customFormat="1" customHeight="1" spans="1:44">
      <c r="A37" s="95">
        <v>35</v>
      </c>
      <c r="B37" s="103">
        <v>1</v>
      </c>
      <c r="C37" s="104" t="s">
        <v>24</v>
      </c>
      <c r="D37" s="104" t="s">
        <v>20</v>
      </c>
      <c r="E37" s="105" t="s">
        <v>414</v>
      </c>
      <c r="F37" s="105" t="s">
        <v>92</v>
      </c>
      <c r="G37" s="105" t="str">
        <f>_xlfn.DISPIMG("ID_C7AF594476A2443F8A3312BA2F26EE97",1)</f>
        <v>=DISPIMG("ID_C7AF594476A2443F8A3312BA2F26EE97",1)</v>
      </c>
      <c r="H37" s="105">
        <f>SUMIFS([1]报表!$U:$U,[1]报表!$H:$H,F:F)</f>
        <v>4880</v>
      </c>
      <c r="I37" s="105" t="s">
        <v>60</v>
      </c>
      <c r="J37" s="105"/>
      <c r="K37" s="105"/>
      <c r="L37" s="104" t="s">
        <v>601</v>
      </c>
      <c r="M37" s="104" t="s">
        <v>598</v>
      </c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>
        <v>1000</v>
      </c>
      <c r="AB37" s="103">
        <v>0</v>
      </c>
      <c r="AC37" s="103">
        <v>0</v>
      </c>
      <c r="AD37" s="103">
        <v>600</v>
      </c>
      <c r="AE37" s="103">
        <v>600</v>
      </c>
      <c r="AF37" s="103">
        <v>600</v>
      </c>
      <c r="AG37" s="103">
        <v>600</v>
      </c>
      <c r="AH37" s="103">
        <v>600</v>
      </c>
      <c r="AI37" s="103">
        <v>600</v>
      </c>
      <c r="AJ37" s="103">
        <v>600</v>
      </c>
      <c r="AK37" s="103">
        <v>600</v>
      </c>
      <c r="AL37" s="103">
        <v>600</v>
      </c>
      <c r="AM37" s="103"/>
      <c r="AN37" s="103"/>
      <c r="AO37" s="103"/>
      <c r="AP37" s="103"/>
      <c r="AQ37" s="103"/>
      <c r="AR37" s="113"/>
    </row>
    <row r="38" s="96" customFormat="1" customHeight="1" spans="1:44">
      <c r="A38" s="95">
        <v>36</v>
      </c>
      <c r="B38" s="103">
        <v>1</v>
      </c>
      <c r="C38" s="104" t="s">
        <v>24</v>
      </c>
      <c r="D38" s="104" t="s">
        <v>20</v>
      </c>
      <c r="E38" s="103" t="s">
        <v>414</v>
      </c>
      <c r="F38" s="106" t="s">
        <v>92</v>
      </c>
      <c r="G38" s="103"/>
      <c r="H38" s="105">
        <f>SUMIFS([1]报表!$U:$U,[1]报表!$H:$H,F:F)</f>
        <v>4880</v>
      </c>
      <c r="I38" s="105" t="s">
        <v>60</v>
      </c>
      <c r="J38" s="105"/>
      <c r="K38" s="105"/>
      <c r="L38" s="103" t="str">
        <f>L37</f>
        <v>磨抛</v>
      </c>
      <c r="M38" s="104" t="s">
        <v>599</v>
      </c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>
        <v>1020</v>
      </c>
      <c r="AB38" s="103">
        <v>0</v>
      </c>
      <c r="AC38" s="113"/>
      <c r="AD38" s="113"/>
      <c r="AE38" s="113"/>
      <c r="AF38" s="113"/>
      <c r="AG38" s="113"/>
      <c r="AH38" s="113"/>
      <c r="AI38" s="113"/>
      <c r="AJ38" s="113"/>
      <c r="AK38" s="113"/>
      <c r="AL38" s="113" t="s">
        <v>613</v>
      </c>
      <c r="AM38" s="113"/>
      <c r="AN38" s="113"/>
      <c r="AO38" s="113"/>
      <c r="AP38" s="113"/>
      <c r="AQ38" s="113"/>
      <c r="AR38" s="113"/>
    </row>
    <row r="39" s="96" customFormat="1" customHeight="1" spans="1:44">
      <c r="A39" s="95">
        <v>37</v>
      </c>
      <c r="B39" s="103">
        <v>1</v>
      </c>
      <c r="C39" s="104" t="s">
        <v>24</v>
      </c>
      <c r="D39" s="104" t="s">
        <v>20</v>
      </c>
      <c r="E39" s="105" t="s">
        <v>414</v>
      </c>
      <c r="F39" s="105" t="s">
        <v>93</v>
      </c>
      <c r="G39" s="105"/>
      <c r="H39" s="105">
        <f>SUMIFS([1]报表!$U:$U,[1]报表!$H:$H,F:F)</f>
        <v>6300</v>
      </c>
      <c r="I39" s="105" t="s">
        <v>60</v>
      </c>
      <c r="J39" s="105"/>
      <c r="K39" s="105"/>
      <c r="L39" s="104" t="s">
        <v>597</v>
      </c>
      <c r="M39" s="104" t="s">
        <v>598</v>
      </c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13"/>
      <c r="AD39" s="113" t="s">
        <v>614</v>
      </c>
      <c r="AE39" s="113">
        <v>3100</v>
      </c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</row>
    <row r="40" s="96" customFormat="1" customHeight="1" spans="1:44">
      <c r="A40" s="95">
        <v>38</v>
      </c>
      <c r="B40" s="103">
        <v>1</v>
      </c>
      <c r="C40" s="104" t="s">
        <v>24</v>
      </c>
      <c r="D40" s="104" t="s">
        <v>20</v>
      </c>
      <c r="E40" s="105" t="s">
        <v>414</v>
      </c>
      <c r="F40" s="105" t="s">
        <v>93</v>
      </c>
      <c r="G40" s="105"/>
      <c r="H40" s="105">
        <f>SUMIFS([1]报表!$U:$U,[1]报表!$H:$H,F:F)</f>
        <v>6300</v>
      </c>
      <c r="I40" s="105" t="s">
        <v>60</v>
      </c>
      <c r="J40" s="105"/>
      <c r="K40" s="105"/>
      <c r="L40" s="104" t="str">
        <f>L39</f>
        <v>压铸</v>
      </c>
      <c r="M40" s="104" t="s">
        <v>599</v>
      </c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</row>
    <row r="41" s="96" customFormat="1" customHeight="1" spans="1:44">
      <c r="A41" s="95">
        <v>39</v>
      </c>
      <c r="B41" s="103">
        <v>1</v>
      </c>
      <c r="C41" s="104" t="s">
        <v>24</v>
      </c>
      <c r="D41" s="104" t="s">
        <v>20</v>
      </c>
      <c r="E41" s="105" t="s">
        <v>414</v>
      </c>
      <c r="F41" s="105" t="s">
        <v>93</v>
      </c>
      <c r="G41" s="105"/>
      <c r="H41" s="105">
        <f>SUMIFS([1]报表!$U:$U,[1]报表!$H:$H,F:F)</f>
        <v>6300</v>
      </c>
      <c r="I41" s="105" t="s">
        <v>60</v>
      </c>
      <c r="J41" s="105"/>
      <c r="K41" s="105"/>
      <c r="L41" s="104" t="s">
        <v>600</v>
      </c>
      <c r="M41" s="104" t="s">
        <v>598</v>
      </c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13"/>
      <c r="AD41" s="113"/>
      <c r="AE41" s="113"/>
      <c r="AF41" s="113"/>
      <c r="AG41" s="113"/>
      <c r="AH41" s="113">
        <v>500</v>
      </c>
      <c r="AI41" s="113">
        <v>500</v>
      </c>
      <c r="AJ41" s="113">
        <v>500</v>
      </c>
      <c r="AK41" s="113">
        <v>500</v>
      </c>
      <c r="AL41" s="113">
        <v>500</v>
      </c>
      <c r="AM41" s="113">
        <v>500</v>
      </c>
      <c r="AN41" s="113"/>
      <c r="AO41" s="113"/>
      <c r="AP41" s="113"/>
      <c r="AQ41" s="113"/>
      <c r="AR41" s="113"/>
    </row>
    <row r="42" s="96" customFormat="1" customHeight="1" spans="1:44">
      <c r="A42" s="95">
        <v>40</v>
      </c>
      <c r="B42" s="103">
        <v>1</v>
      </c>
      <c r="C42" s="104" t="s">
        <v>24</v>
      </c>
      <c r="D42" s="104" t="s">
        <v>20</v>
      </c>
      <c r="E42" s="105" t="s">
        <v>414</v>
      </c>
      <c r="F42" s="105" t="s">
        <v>93</v>
      </c>
      <c r="G42" s="105"/>
      <c r="H42" s="105">
        <f>SUMIFS([1]报表!$U:$U,[1]报表!$H:$H,F:F)</f>
        <v>6300</v>
      </c>
      <c r="I42" s="105" t="s">
        <v>60</v>
      </c>
      <c r="J42" s="105"/>
      <c r="K42" s="105"/>
      <c r="L42" s="104" t="str">
        <f>L41</f>
        <v>机加</v>
      </c>
      <c r="M42" s="104" t="s">
        <v>599</v>
      </c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13"/>
      <c r="AD42" s="113"/>
      <c r="AE42" s="113"/>
      <c r="AF42" s="113"/>
      <c r="AG42" s="113"/>
      <c r="AH42" s="113"/>
      <c r="AI42" s="113">
        <v>500</v>
      </c>
      <c r="AJ42" s="113">
        <v>500</v>
      </c>
      <c r="AK42" s="113">
        <v>500</v>
      </c>
      <c r="AL42" s="113">
        <v>500</v>
      </c>
      <c r="AM42" s="113">
        <v>500</v>
      </c>
      <c r="AN42" s="113">
        <v>500</v>
      </c>
      <c r="AO42" s="113"/>
      <c r="AP42" s="113"/>
      <c r="AQ42" s="113"/>
      <c r="AR42" s="113"/>
    </row>
    <row r="43" s="96" customFormat="1" customHeight="1" spans="1:44">
      <c r="A43" s="95">
        <v>41</v>
      </c>
      <c r="B43" s="103">
        <v>1</v>
      </c>
      <c r="C43" s="104" t="s">
        <v>24</v>
      </c>
      <c r="D43" s="104" t="s">
        <v>20</v>
      </c>
      <c r="E43" s="105" t="s">
        <v>414</v>
      </c>
      <c r="F43" s="105" t="s">
        <v>93</v>
      </c>
      <c r="G43" s="105" t="str">
        <f>_xlfn.DISPIMG("ID_38023E46361A43A3B29AF344B1943F31",1)</f>
        <v>=DISPIMG("ID_38023E46361A43A3B29AF344B1943F31",1)</v>
      </c>
      <c r="H43" s="105">
        <f>SUMIFS([1]报表!$U:$U,[1]报表!$H:$H,F:F)</f>
        <v>6300</v>
      </c>
      <c r="I43" s="105" t="s">
        <v>60</v>
      </c>
      <c r="J43" s="105"/>
      <c r="K43" s="105"/>
      <c r="L43" s="104" t="s">
        <v>601</v>
      </c>
      <c r="M43" s="104" t="s">
        <v>598</v>
      </c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13"/>
      <c r="AK43" s="113"/>
      <c r="AL43" s="113"/>
      <c r="AM43" s="113"/>
      <c r="AN43" s="113"/>
      <c r="AO43" s="113"/>
      <c r="AP43" s="113"/>
      <c r="AQ43" s="113"/>
      <c r="AR43" s="113"/>
    </row>
    <row r="44" s="96" customFormat="1" customHeight="1" spans="1:44">
      <c r="A44" s="95">
        <v>42</v>
      </c>
      <c r="B44" s="103">
        <v>1</v>
      </c>
      <c r="C44" s="104" t="s">
        <v>24</v>
      </c>
      <c r="D44" s="104" t="s">
        <v>20</v>
      </c>
      <c r="E44" s="103" t="s">
        <v>414</v>
      </c>
      <c r="F44" s="106" t="s">
        <v>93</v>
      </c>
      <c r="G44" s="103"/>
      <c r="H44" s="105">
        <f>SUMIFS([1]报表!$U:$U,[1]报表!$H:$H,F:F)</f>
        <v>6300</v>
      </c>
      <c r="I44" s="105" t="s">
        <v>60</v>
      </c>
      <c r="J44" s="105"/>
      <c r="K44" s="105"/>
      <c r="L44" s="103" t="str">
        <f>L43</f>
        <v>磨抛</v>
      </c>
      <c r="M44" s="104" t="s">
        <v>599</v>
      </c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</row>
    <row r="45" s="96" customFormat="1" customHeight="1" spans="1:44">
      <c r="A45" s="95">
        <v>43</v>
      </c>
      <c r="B45" s="103">
        <v>1</v>
      </c>
      <c r="C45" s="104" t="s">
        <v>24</v>
      </c>
      <c r="D45" s="104" t="s">
        <v>20</v>
      </c>
      <c r="E45" s="105" t="s">
        <v>414</v>
      </c>
      <c r="F45" s="105" t="s">
        <v>94</v>
      </c>
      <c r="G45" s="105"/>
      <c r="H45" s="105">
        <f>SUMIFS([1]报表!$U:$U,[1]报表!$H:$H,F:F)</f>
        <v>14559</v>
      </c>
      <c r="I45" s="105" t="s">
        <v>60</v>
      </c>
      <c r="J45" s="105"/>
      <c r="K45" s="105"/>
      <c r="L45" s="104" t="s">
        <v>597</v>
      </c>
      <c r="M45" s="104" t="s">
        <v>598</v>
      </c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 t="s">
        <v>610</v>
      </c>
      <c r="AA45" s="103"/>
      <c r="AB45" s="10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</row>
    <row r="46" s="96" customFormat="1" customHeight="1" spans="1:44">
      <c r="A46" s="95">
        <v>44</v>
      </c>
      <c r="B46" s="103">
        <v>1</v>
      </c>
      <c r="C46" s="104" t="s">
        <v>24</v>
      </c>
      <c r="D46" s="104" t="s">
        <v>20</v>
      </c>
      <c r="E46" s="105" t="s">
        <v>414</v>
      </c>
      <c r="F46" s="105" t="s">
        <v>94</v>
      </c>
      <c r="G46" s="105"/>
      <c r="H46" s="105">
        <f>SUMIFS([1]报表!$U:$U,[1]报表!$H:$H,F:F)</f>
        <v>14559</v>
      </c>
      <c r="I46" s="105" t="s">
        <v>60</v>
      </c>
      <c r="J46" s="105"/>
      <c r="K46" s="105"/>
      <c r="L46" s="104" t="str">
        <f>L45</f>
        <v>压铸</v>
      </c>
      <c r="M46" s="104" t="s">
        <v>599</v>
      </c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</row>
    <row r="47" s="96" customFormat="1" customHeight="1" spans="1:44">
      <c r="A47" s="95">
        <v>45</v>
      </c>
      <c r="B47" s="103">
        <v>1</v>
      </c>
      <c r="C47" s="104" t="s">
        <v>24</v>
      </c>
      <c r="D47" s="104" t="s">
        <v>20</v>
      </c>
      <c r="E47" s="105" t="s">
        <v>414</v>
      </c>
      <c r="F47" s="105" t="s">
        <v>94</v>
      </c>
      <c r="G47" s="105"/>
      <c r="H47" s="105">
        <f>SUMIFS([1]报表!$U:$U,[1]报表!$H:$H,F:F)</f>
        <v>14559</v>
      </c>
      <c r="I47" s="105" t="s">
        <v>60</v>
      </c>
      <c r="J47" s="105"/>
      <c r="K47" s="105"/>
      <c r="L47" s="104" t="s">
        <v>600</v>
      </c>
      <c r="M47" s="104" t="s">
        <v>598</v>
      </c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13"/>
      <c r="AD47" s="103"/>
      <c r="AE47" s="103">
        <v>2000</v>
      </c>
      <c r="AF47" s="103">
        <v>2000</v>
      </c>
      <c r="AG47" s="103">
        <v>2000</v>
      </c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</row>
    <row r="48" s="96" customFormat="1" customHeight="1" spans="1:44">
      <c r="A48" s="95">
        <v>46</v>
      </c>
      <c r="B48" s="103">
        <v>1</v>
      </c>
      <c r="C48" s="104" t="s">
        <v>24</v>
      </c>
      <c r="D48" s="104" t="s">
        <v>20</v>
      </c>
      <c r="E48" s="105" t="s">
        <v>414</v>
      </c>
      <c r="F48" s="105" t="s">
        <v>94</v>
      </c>
      <c r="G48" s="105"/>
      <c r="H48" s="105">
        <f>SUMIFS([1]报表!$U:$U,[1]报表!$H:$H,F:F)</f>
        <v>14559</v>
      </c>
      <c r="I48" s="105" t="s">
        <v>60</v>
      </c>
      <c r="J48" s="105"/>
      <c r="K48" s="105"/>
      <c r="L48" s="104" t="str">
        <f>L47</f>
        <v>机加</v>
      </c>
      <c r="M48" s="104" t="s">
        <v>599</v>
      </c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</row>
    <row r="49" s="96" customFormat="1" customHeight="1" spans="1:44">
      <c r="A49" s="95">
        <v>47</v>
      </c>
      <c r="B49" s="103">
        <v>1</v>
      </c>
      <c r="C49" s="104" t="s">
        <v>24</v>
      </c>
      <c r="D49" s="104" t="s">
        <v>20</v>
      </c>
      <c r="E49" s="105" t="s">
        <v>414</v>
      </c>
      <c r="F49" s="105" t="s">
        <v>94</v>
      </c>
      <c r="G49" s="105" t="str">
        <f>_xlfn.DISPIMG("ID_1030B51CAA3246999D1DA686EF72F31F",1)</f>
        <v>=DISPIMG("ID_1030B51CAA3246999D1DA686EF72F31F",1)</v>
      </c>
      <c r="H49" s="105">
        <f>SUMIFS([1]报表!$U:$U,[1]报表!$H:$H,F:F)</f>
        <v>14559</v>
      </c>
      <c r="I49" s="105" t="s">
        <v>60</v>
      </c>
      <c r="J49" s="105"/>
      <c r="K49" s="105"/>
      <c r="L49" s="104" t="s">
        <v>601</v>
      </c>
      <c r="M49" s="104" t="s">
        <v>598</v>
      </c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>
        <v>2000</v>
      </c>
      <c r="AK49" s="103">
        <v>2000</v>
      </c>
      <c r="AL49" s="103">
        <v>2000</v>
      </c>
      <c r="AM49" s="103"/>
      <c r="AN49" s="103"/>
      <c r="AO49" s="103"/>
      <c r="AP49" s="103"/>
      <c r="AQ49" s="103"/>
      <c r="AR49" s="103"/>
    </row>
    <row r="50" s="96" customFormat="1" customHeight="1" spans="1:44">
      <c r="A50" s="95">
        <v>48</v>
      </c>
      <c r="B50" s="103">
        <v>1</v>
      </c>
      <c r="C50" s="104" t="s">
        <v>24</v>
      </c>
      <c r="D50" s="104" t="s">
        <v>20</v>
      </c>
      <c r="E50" s="103" t="s">
        <v>414</v>
      </c>
      <c r="F50" s="106" t="s">
        <v>94</v>
      </c>
      <c r="G50" s="103"/>
      <c r="H50" s="105">
        <f>SUMIFS([1]报表!$U:$U,[1]报表!$H:$H,F:F)</f>
        <v>14559</v>
      </c>
      <c r="I50" s="105" t="s">
        <v>60</v>
      </c>
      <c r="J50" s="105"/>
      <c r="K50" s="105"/>
      <c r="L50" s="103" t="str">
        <f>L49</f>
        <v>磨抛</v>
      </c>
      <c r="M50" s="104" t="s">
        <v>599</v>
      </c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>
        <v>2160</v>
      </c>
      <c r="AB50" s="10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</row>
    <row r="51" s="95" customFormat="1" customHeight="1" spans="1:44">
      <c r="A51" s="95">
        <v>49</v>
      </c>
      <c r="B51" s="106">
        <v>1</v>
      </c>
      <c r="C51" s="107" t="s">
        <v>19</v>
      </c>
      <c r="D51" s="107" t="s">
        <v>20</v>
      </c>
      <c r="E51" s="108" t="s">
        <v>410</v>
      </c>
      <c r="F51" s="108" t="s">
        <v>102</v>
      </c>
      <c r="G51" s="108"/>
      <c r="H51" s="105">
        <f>SUMIFS([1]报表!$U:$U,[1]报表!$H:$H,F:F)</f>
        <v>40010</v>
      </c>
      <c r="I51" s="105" t="s">
        <v>60</v>
      </c>
      <c r="J51" s="105"/>
      <c r="K51" s="105"/>
      <c r="L51" s="107" t="s">
        <v>597</v>
      </c>
      <c r="M51" s="107" t="s">
        <v>598</v>
      </c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 t="s">
        <v>610</v>
      </c>
      <c r="AA51" s="103"/>
      <c r="AB51" s="10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</row>
    <row r="52" s="95" customFormat="1" customHeight="1" spans="1:44">
      <c r="A52" s="95">
        <v>50</v>
      </c>
      <c r="B52" s="106">
        <v>1</v>
      </c>
      <c r="C52" s="107" t="s">
        <v>19</v>
      </c>
      <c r="D52" s="107" t="s">
        <v>20</v>
      </c>
      <c r="E52" s="108" t="s">
        <v>410</v>
      </c>
      <c r="F52" s="109" t="s">
        <v>102</v>
      </c>
      <c r="G52" s="109"/>
      <c r="H52" s="105">
        <f>SUMIFS([1]报表!$U:$U,[1]报表!$H:$H,F:F)</f>
        <v>40010</v>
      </c>
      <c r="I52" s="105" t="s">
        <v>60</v>
      </c>
      <c r="J52" s="105"/>
      <c r="K52" s="105"/>
      <c r="L52" s="107" t="str">
        <f>L51</f>
        <v>压铸</v>
      </c>
      <c r="M52" s="107" t="s">
        <v>599</v>
      </c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</row>
    <row r="53" s="95" customFormat="1" customHeight="1" spans="1:44">
      <c r="A53" s="95">
        <v>51</v>
      </c>
      <c r="B53" s="106">
        <v>1</v>
      </c>
      <c r="C53" s="107" t="s">
        <v>19</v>
      </c>
      <c r="D53" s="107" t="s">
        <v>20</v>
      </c>
      <c r="E53" s="108" t="s">
        <v>410</v>
      </c>
      <c r="F53" s="109" t="s">
        <v>102</v>
      </c>
      <c r="G53" s="109"/>
      <c r="H53" s="105">
        <f>SUMIFS([1]报表!$U:$U,[1]报表!$H:$H,F:F)</f>
        <v>40010</v>
      </c>
      <c r="I53" s="105" t="s">
        <v>60</v>
      </c>
      <c r="J53" s="105"/>
      <c r="K53" s="105"/>
      <c r="L53" s="107" t="s">
        <v>600</v>
      </c>
      <c r="M53" s="107" t="s">
        <v>598</v>
      </c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>
        <v>3800</v>
      </c>
      <c r="AA53" s="103">
        <v>3800</v>
      </c>
      <c r="AB53" s="103">
        <v>3800</v>
      </c>
      <c r="AC53" s="106">
        <v>3800</v>
      </c>
      <c r="AD53" s="106">
        <v>3800</v>
      </c>
      <c r="AE53" s="106">
        <v>3800</v>
      </c>
      <c r="AF53" s="106">
        <v>3800</v>
      </c>
      <c r="AG53" s="106">
        <v>3800</v>
      </c>
      <c r="AH53" s="103">
        <v>3800</v>
      </c>
      <c r="AI53" s="103">
        <v>3800</v>
      </c>
      <c r="AJ53" s="103">
        <v>3800</v>
      </c>
      <c r="AK53" s="103">
        <v>3800</v>
      </c>
      <c r="AL53" s="103">
        <v>3800</v>
      </c>
      <c r="AM53" s="103"/>
      <c r="AN53" s="103"/>
      <c r="AO53" s="103"/>
      <c r="AP53" s="103"/>
      <c r="AQ53" s="103"/>
      <c r="AR53" s="103"/>
    </row>
    <row r="54" s="95" customFormat="1" customHeight="1" spans="1:44">
      <c r="A54" s="95">
        <v>52</v>
      </c>
      <c r="B54" s="106">
        <v>1</v>
      </c>
      <c r="C54" s="107" t="s">
        <v>19</v>
      </c>
      <c r="D54" s="107" t="s">
        <v>20</v>
      </c>
      <c r="E54" s="108" t="s">
        <v>410</v>
      </c>
      <c r="F54" s="109" t="s">
        <v>102</v>
      </c>
      <c r="G54" s="109"/>
      <c r="H54" s="105">
        <f>SUMIFS([1]报表!$U:$U,[1]报表!$H:$H,F:F)</f>
        <v>40010</v>
      </c>
      <c r="I54" s="105" t="s">
        <v>60</v>
      </c>
      <c r="J54" s="105"/>
      <c r="K54" s="105"/>
      <c r="L54" s="107" t="str">
        <f>L53</f>
        <v>机加</v>
      </c>
      <c r="M54" s="107" t="s">
        <v>599</v>
      </c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</row>
    <row r="55" s="95" customFormat="1" customHeight="1" spans="1:46">
      <c r="A55" s="95">
        <v>53</v>
      </c>
      <c r="B55" s="106">
        <v>1</v>
      </c>
      <c r="C55" s="107" t="s">
        <v>19</v>
      </c>
      <c r="D55" s="107" t="s">
        <v>20</v>
      </c>
      <c r="E55" s="108" t="s">
        <v>410</v>
      </c>
      <c r="F55" s="109" t="s">
        <v>102</v>
      </c>
      <c r="G55" s="109" t="str">
        <f>_xlfn.DISPIMG("ID_B3FCCCBFC3D94708AD032AE18BAE8A9E",1)</f>
        <v>=DISPIMG("ID_B3FCCCBFC3D94708AD032AE18BAE8A9E",1)</v>
      </c>
      <c r="H55" s="105">
        <f>SUMIFS([1]报表!$U:$U,[1]报表!$H:$H,F:F)</f>
        <v>40010</v>
      </c>
      <c r="I55" s="105" t="s">
        <v>60</v>
      </c>
      <c r="J55" s="105"/>
      <c r="K55" s="105"/>
      <c r="L55" s="107" t="s">
        <v>601</v>
      </c>
      <c r="M55" s="107" t="s">
        <v>598</v>
      </c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>
        <v>3000</v>
      </c>
      <c r="AA55" s="103">
        <v>3000</v>
      </c>
      <c r="AB55" s="103">
        <v>0</v>
      </c>
      <c r="AC55" s="106">
        <v>3500</v>
      </c>
      <c r="AD55" s="106">
        <v>3500</v>
      </c>
      <c r="AE55" s="106">
        <v>3500</v>
      </c>
      <c r="AF55" s="106">
        <v>3500</v>
      </c>
      <c r="AG55" s="106">
        <v>3500</v>
      </c>
      <c r="AH55" s="103">
        <v>3500</v>
      </c>
      <c r="AI55" s="103">
        <v>3500</v>
      </c>
      <c r="AJ55" s="103">
        <v>3500</v>
      </c>
      <c r="AK55" s="103">
        <v>3500</v>
      </c>
      <c r="AL55" s="103">
        <v>3500</v>
      </c>
      <c r="AM55" s="103">
        <v>3500</v>
      </c>
      <c r="AN55" s="103">
        <v>0</v>
      </c>
      <c r="AO55" s="103">
        <v>3500</v>
      </c>
      <c r="AP55" s="103">
        <v>3500</v>
      </c>
      <c r="AQ55" s="103"/>
      <c r="AR55" s="103"/>
      <c r="AT55" s="95" t="s">
        <v>615</v>
      </c>
    </row>
    <row r="56" s="95" customFormat="1" customHeight="1" spans="1:44">
      <c r="A56" s="95">
        <v>54</v>
      </c>
      <c r="B56" s="106">
        <v>1</v>
      </c>
      <c r="C56" s="107" t="s">
        <v>19</v>
      </c>
      <c r="D56" s="107" t="s">
        <v>20</v>
      </c>
      <c r="E56" s="106" t="s">
        <v>410</v>
      </c>
      <c r="F56" s="107" t="s">
        <v>102</v>
      </c>
      <c r="G56" s="107"/>
      <c r="H56" s="105">
        <f>SUMIFS([1]报表!$U:$U,[1]报表!$H:$H,F:F)</f>
        <v>40010</v>
      </c>
      <c r="I56" s="105" t="s">
        <v>60</v>
      </c>
      <c r="J56" s="105"/>
      <c r="K56" s="105"/>
      <c r="L56" s="106" t="str">
        <f>L55</f>
        <v>磨抛</v>
      </c>
      <c r="M56" s="107" t="s">
        <v>599</v>
      </c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</row>
    <row r="57" s="96" customFormat="1" customHeight="1" spans="1:44">
      <c r="A57" s="95">
        <v>55</v>
      </c>
      <c r="B57" s="106">
        <v>2</v>
      </c>
      <c r="C57" s="107" t="s">
        <v>19</v>
      </c>
      <c r="D57" s="107" t="s">
        <v>20</v>
      </c>
      <c r="E57" s="105" t="s">
        <v>414</v>
      </c>
      <c r="F57" s="109" t="s">
        <v>103</v>
      </c>
      <c r="G57" s="109"/>
      <c r="H57" s="105">
        <f>SUMIFS([1]报表!$U:$U,[1]报表!$H:$H,F:F)</f>
        <v>32271</v>
      </c>
      <c r="I57" s="105" t="s">
        <v>60</v>
      </c>
      <c r="J57" s="105"/>
      <c r="K57" s="105"/>
      <c r="L57" s="107" t="s">
        <v>597</v>
      </c>
      <c r="M57" s="107" t="s">
        <v>598</v>
      </c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 t="s">
        <v>616</v>
      </c>
      <c r="AB57" s="103">
        <v>7500</v>
      </c>
      <c r="AC57" s="106">
        <v>7500</v>
      </c>
      <c r="AD57" s="106">
        <v>7500</v>
      </c>
      <c r="AE57" s="106">
        <v>7500</v>
      </c>
      <c r="AF57" s="106">
        <v>7500</v>
      </c>
      <c r="AG57" s="106">
        <v>7500</v>
      </c>
      <c r="AH57" s="103"/>
      <c r="AI57" s="103"/>
      <c r="AJ57" s="103"/>
      <c r="AK57" s="103"/>
      <c r="AL57" s="103"/>
      <c r="AM57" s="113"/>
      <c r="AN57" s="113"/>
      <c r="AO57" s="113"/>
      <c r="AP57" s="113"/>
      <c r="AQ57" s="113"/>
      <c r="AR57" s="113"/>
    </row>
    <row r="58" s="96" customFormat="1" customHeight="1" spans="1:44">
      <c r="A58" s="95">
        <v>56</v>
      </c>
      <c r="B58" s="106">
        <v>2</v>
      </c>
      <c r="C58" s="107" t="s">
        <v>19</v>
      </c>
      <c r="D58" s="107" t="s">
        <v>20</v>
      </c>
      <c r="E58" s="108" t="s">
        <v>414</v>
      </c>
      <c r="F58" s="109" t="s">
        <v>103</v>
      </c>
      <c r="G58" s="109"/>
      <c r="H58" s="105">
        <f>SUMIFS([1]报表!$U:$U,[1]报表!$H:$H,F:F)</f>
        <v>32271</v>
      </c>
      <c r="I58" s="105" t="s">
        <v>60</v>
      </c>
      <c r="J58" s="105"/>
      <c r="K58" s="105"/>
      <c r="L58" s="107" t="str">
        <f>L57</f>
        <v>压铸</v>
      </c>
      <c r="M58" s="107" t="s">
        <v>599</v>
      </c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</row>
    <row r="59" s="96" customFormat="1" customHeight="1" spans="1:44">
      <c r="A59" s="95">
        <v>57</v>
      </c>
      <c r="B59" s="106">
        <v>2</v>
      </c>
      <c r="C59" s="107" t="s">
        <v>19</v>
      </c>
      <c r="D59" s="107" t="s">
        <v>20</v>
      </c>
      <c r="E59" s="108" t="s">
        <v>414</v>
      </c>
      <c r="F59" s="109" t="s">
        <v>103</v>
      </c>
      <c r="G59" s="109"/>
      <c r="H59" s="105">
        <f>SUMIFS([1]报表!$U:$U,[1]报表!$H:$H,F:F)</f>
        <v>32271</v>
      </c>
      <c r="I59" s="105" t="s">
        <v>60</v>
      </c>
      <c r="J59" s="105"/>
      <c r="K59" s="105"/>
      <c r="L59" s="107" t="s">
        <v>600</v>
      </c>
      <c r="M59" s="107" t="s">
        <v>598</v>
      </c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6">
        <v>4000</v>
      </c>
      <c r="AD59" s="106">
        <v>4000</v>
      </c>
      <c r="AE59" s="106">
        <v>4000</v>
      </c>
      <c r="AF59" s="106">
        <v>4000</v>
      </c>
      <c r="AG59" s="106">
        <v>4000</v>
      </c>
      <c r="AH59" s="103">
        <v>4000</v>
      </c>
      <c r="AI59" s="103">
        <v>4000</v>
      </c>
      <c r="AJ59" s="103">
        <v>4000</v>
      </c>
      <c r="AK59" s="103">
        <v>4000</v>
      </c>
      <c r="AL59" s="103">
        <v>4000</v>
      </c>
      <c r="AM59" s="103">
        <v>4000</v>
      </c>
      <c r="AN59" s="103">
        <v>4000</v>
      </c>
      <c r="AO59" s="103"/>
      <c r="AP59" s="113"/>
      <c r="AQ59" s="113"/>
      <c r="AR59" s="113"/>
    </row>
    <row r="60" s="96" customFormat="1" customHeight="1" spans="1:44">
      <c r="A60" s="95">
        <v>58</v>
      </c>
      <c r="B60" s="106">
        <v>2</v>
      </c>
      <c r="C60" s="107" t="s">
        <v>19</v>
      </c>
      <c r="D60" s="107" t="s">
        <v>20</v>
      </c>
      <c r="E60" s="108" t="s">
        <v>414</v>
      </c>
      <c r="F60" s="109" t="s">
        <v>103</v>
      </c>
      <c r="G60" s="109"/>
      <c r="H60" s="105">
        <f>SUMIFS([1]报表!$U:$U,[1]报表!$H:$H,F:F)</f>
        <v>32271</v>
      </c>
      <c r="I60" s="105" t="s">
        <v>60</v>
      </c>
      <c r="J60" s="105"/>
      <c r="K60" s="105"/>
      <c r="L60" s="107" t="str">
        <f>L59</f>
        <v>机加</v>
      </c>
      <c r="M60" s="107" t="s">
        <v>599</v>
      </c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</row>
    <row r="61" s="96" customFormat="1" customHeight="1" spans="1:46">
      <c r="A61" s="95">
        <v>59</v>
      </c>
      <c r="B61" s="106">
        <v>2</v>
      </c>
      <c r="C61" s="107" t="s">
        <v>19</v>
      </c>
      <c r="D61" s="107" t="s">
        <v>20</v>
      </c>
      <c r="E61" s="108" t="s">
        <v>414</v>
      </c>
      <c r="F61" s="109" t="s">
        <v>103</v>
      </c>
      <c r="G61" s="109" t="str">
        <f>_xlfn.DISPIMG("ID_F6B90FB212D341A888D8083C8703976E",1)</f>
        <v>=DISPIMG("ID_F6B90FB212D341A888D8083C8703976E",1)</v>
      </c>
      <c r="H61" s="105">
        <f>SUMIFS([1]报表!$U:$U,[1]报表!$H:$H,F:F)</f>
        <v>32271</v>
      </c>
      <c r="I61" s="105" t="s">
        <v>60</v>
      </c>
      <c r="J61" s="105"/>
      <c r="K61" s="105"/>
      <c r="L61" s="107" t="s">
        <v>601</v>
      </c>
      <c r="M61" s="107" t="s">
        <v>598</v>
      </c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6"/>
      <c r="AD61" s="106">
        <v>3500</v>
      </c>
      <c r="AE61" s="106">
        <v>3500</v>
      </c>
      <c r="AF61" s="106">
        <v>3500</v>
      </c>
      <c r="AG61" s="106">
        <v>3500</v>
      </c>
      <c r="AH61" s="103">
        <v>3500</v>
      </c>
      <c r="AI61" s="103">
        <v>3500</v>
      </c>
      <c r="AJ61" s="103">
        <v>3500</v>
      </c>
      <c r="AK61" s="103">
        <v>3500</v>
      </c>
      <c r="AL61" s="103">
        <v>3500</v>
      </c>
      <c r="AM61" s="103">
        <v>3500</v>
      </c>
      <c r="AN61" s="103">
        <v>3500</v>
      </c>
      <c r="AO61" s="103">
        <v>3500</v>
      </c>
      <c r="AP61" s="103">
        <v>3500</v>
      </c>
      <c r="AQ61" s="103">
        <v>3500</v>
      </c>
      <c r="AR61" s="113"/>
      <c r="AT61" s="96" t="s">
        <v>617</v>
      </c>
    </row>
    <row r="62" s="96" customFormat="1" customHeight="1" spans="1:44">
      <c r="A62" s="95">
        <v>60</v>
      </c>
      <c r="B62" s="106">
        <v>2</v>
      </c>
      <c r="C62" s="107" t="s">
        <v>19</v>
      </c>
      <c r="D62" s="107" t="s">
        <v>20</v>
      </c>
      <c r="E62" s="106" t="s">
        <v>414</v>
      </c>
      <c r="F62" s="107" t="s">
        <v>103</v>
      </c>
      <c r="G62" s="107"/>
      <c r="H62" s="105">
        <f>SUMIFS([1]报表!$U:$U,[1]报表!$H:$H,F:F)</f>
        <v>32271</v>
      </c>
      <c r="I62" s="105" t="s">
        <v>60</v>
      </c>
      <c r="J62" s="105"/>
      <c r="K62" s="105"/>
      <c r="L62" s="106" t="str">
        <f>L61</f>
        <v>磨抛</v>
      </c>
      <c r="M62" s="107" t="s">
        <v>599</v>
      </c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13">
        <f>3520+629+1771</f>
        <v>5920</v>
      </c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</row>
    <row r="63" s="96" customFormat="1" customHeight="1" spans="1:44">
      <c r="A63" s="95">
        <v>61</v>
      </c>
      <c r="B63" s="106">
        <v>3</v>
      </c>
      <c r="C63" s="107" t="s">
        <v>19</v>
      </c>
      <c r="D63" s="107" t="s">
        <v>20</v>
      </c>
      <c r="E63" s="105" t="s">
        <v>414</v>
      </c>
      <c r="F63" s="105" t="s">
        <v>267</v>
      </c>
      <c r="G63" s="105"/>
      <c r="H63" s="105">
        <f>SUMIFS([1]报表!$U:$U,[1]报表!$H:$H,F:F)</f>
        <v>0</v>
      </c>
      <c r="I63" s="105" t="s">
        <v>60</v>
      </c>
      <c r="J63" s="105"/>
      <c r="K63" s="105"/>
      <c r="L63" s="107" t="s">
        <v>597</v>
      </c>
      <c r="M63" s="107" t="s">
        <v>598</v>
      </c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 t="s">
        <v>618</v>
      </c>
      <c r="AB63" s="10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</row>
    <row r="64" s="96" customFormat="1" customHeight="1" spans="1:44">
      <c r="A64" s="95">
        <v>62</v>
      </c>
      <c r="B64" s="106">
        <v>3</v>
      </c>
      <c r="C64" s="107" t="s">
        <v>19</v>
      </c>
      <c r="D64" s="107" t="s">
        <v>20</v>
      </c>
      <c r="E64" s="105" t="s">
        <v>414</v>
      </c>
      <c r="F64" s="105" t="s">
        <v>267</v>
      </c>
      <c r="G64" s="105"/>
      <c r="H64" s="105">
        <f>SUMIFS([1]报表!$U:$U,[1]报表!$H:$H,F:F)</f>
        <v>0</v>
      </c>
      <c r="I64" s="105" t="s">
        <v>60</v>
      </c>
      <c r="J64" s="105"/>
      <c r="K64" s="105"/>
      <c r="L64" s="107" t="str">
        <f>L63</f>
        <v>压铸</v>
      </c>
      <c r="M64" s="107" t="s">
        <v>599</v>
      </c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</row>
    <row r="65" s="96" customFormat="1" customHeight="1" spans="1:44">
      <c r="A65" s="95">
        <v>63</v>
      </c>
      <c r="B65" s="106">
        <v>3</v>
      </c>
      <c r="C65" s="107" t="s">
        <v>19</v>
      </c>
      <c r="D65" s="107" t="s">
        <v>20</v>
      </c>
      <c r="E65" s="105" t="s">
        <v>414</v>
      </c>
      <c r="F65" s="105" t="s">
        <v>267</v>
      </c>
      <c r="G65" s="105"/>
      <c r="H65" s="105">
        <f>SUMIFS([1]报表!$U:$U,[1]报表!$H:$H,F:F)</f>
        <v>0</v>
      </c>
      <c r="I65" s="105" t="s">
        <v>60</v>
      </c>
      <c r="J65" s="105"/>
      <c r="K65" s="105"/>
      <c r="L65" s="107" t="s">
        <v>600</v>
      </c>
      <c r="M65" s="107" t="s">
        <v>598</v>
      </c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</row>
    <row r="66" s="96" customFormat="1" customHeight="1" spans="1:44">
      <c r="A66" s="95">
        <v>64</v>
      </c>
      <c r="B66" s="106">
        <v>3</v>
      </c>
      <c r="C66" s="107" t="s">
        <v>19</v>
      </c>
      <c r="D66" s="107" t="s">
        <v>20</v>
      </c>
      <c r="E66" s="105" t="s">
        <v>414</v>
      </c>
      <c r="F66" s="105" t="s">
        <v>267</v>
      </c>
      <c r="G66" s="105"/>
      <c r="H66" s="105">
        <f>SUMIFS([1]报表!$U:$U,[1]报表!$H:$H,F:F)</f>
        <v>0</v>
      </c>
      <c r="I66" s="105" t="s">
        <v>60</v>
      </c>
      <c r="J66" s="105"/>
      <c r="K66" s="105"/>
      <c r="L66" s="107" t="str">
        <f>L65</f>
        <v>机加</v>
      </c>
      <c r="M66" s="107" t="s">
        <v>599</v>
      </c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</row>
    <row r="67" s="96" customFormat="1" customHeight="1" spans="1:44">
      <c r="A67" s="95">
        <v>65</v>
      </c>
      <c r="B67" s="106">
        <v>3</v>
      </c>
      <c r="C67" s="107" t="s">
        <v>19</v>
      </c>
      <c r="D67" s="107" t="s">
        <v>20</v>
      </c>
      <c r="E67" s="105" t="s">
        <v>414</v>
      </c>
      <c r="F67" s="105" t="s">
        <v>267</v>
      </c>
      <c r="G67" s="105" t="str">
        <f>_xlfn.DISPIMG("ID_8690CA517C3F490E86C83053304140FA",1)</f>
        <v>=DISPIMG("ID_8690CA517C3F490E86C83053304140FA",1)</v>
      </c>
      <c r="H67" s="105">
        <f>SUMIFS([1]报表!$U:$U,[1]报表!$H:$H,F:F)</f>
        <v>0</v>
      </c>
      <c r="I67" s="105" t="s">
        <v>60</v>
      </c>
      <c r="J67" s="105"/>
      <c r="K67" s="105"/>
      <c r="L67" s="107" t="s">
        <v>601</v>
      </c>
      <c r="M67" s="107" t="s">
        <v>598</v>
      </c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6"/>
      <c r="AD67" s="106"/>
      <c r="AE67" s="106"/>
      <c r="AF67" s="106"/>
      <c r="AG67" s="106"/>
      <c r="AH67" s="103"/>
      <c r="AI67" s="103"/>
      <c r="AJ67" s="113"/>
      <c r="AK67" s="113"/>
      <c r="AL67" s="113"/>
      <c r="AM67" s="113"/>
      <c r="AN67" s="113"/>
      <c r="AO67" s="113"/>
      <c r="AP67" s="113"/>
      <c r="AQ67" s="113"/>
      <c r="AR67" s="113"/>
    </row>
    <row r="68" s="96" customFormat="1" customHeight="1" spans="1:44">
      <c r="A68" s="95">
        <v>66</v>
      </c>
      <c r="B68" s="106">
        <v>3</v>
      </c>
      <c r="C68" s="107" t="s">
        <v>19</v>
      </c>
      <c r="D68" s="107" t="s">
        <v>20</v>
      </c>
      <c r="E68" s="106" t="s">
        <v>414</v>
      </c>
      <c r="F68" s="107" t="s">
        <v>267</v>
      </c>
      <c r="G68" s="107"/>
      <c r="H68" s="105">
        <f>SUMIFS([1]报表!$U:$U,[1]报表!$H:$H,F:F)</f>
        <v>0</v>
      </c>
      <c r="I68" s="105" t="s">
        <v>60</v>
      </c>
      <c r="J68" s="105"/>
      <c r="K68" s="105"/>
      <c r="L68" s="106" t="str">
        <f>L67</f>
        <v>磨抛</v>
      </c>
      <c r="M68" s="107" t="s">
        <v>599</v>
      </c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</row>
    <row r="69" s="96" customFormat="1" customHeight="1" spans="1:44">
      <c r="A69" s="95">
        <v>67</v>
      </c>
      <c r="B69" s="106">
        <v>4</v>
      </c>
      <c r="C69" s="107" t="s">
        <v>19</v>
      </c>
      <c r="D69" s="107" t="s">
        <v>20</v>
      </c>
      <c r="E69" s="105" t="s">
        <v>414</v>
      </c>
      <c r="F69" s="109" t="s">
        <v>101</v>
      </c>
      <c r="G69" s="109"/>
      <c r="H69" s="105">
        <f>SUMIFS([1]报表!$U:$U,[1]报表!$H:$H,F:F)</f>
        <v>49869</v>
      </c>
      <c r="I69" s="105" t="s">
        <v>60</v>
      </c>
      <c r="J69" s="105"/>
      <c r="K69" s="105"/>
      <c r="L69" s="107" t="s">
        <v>597</v>
      </c>
      <c r="M69" s="107" t="s">
        <v>598</v>
      </c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 t="s">
        <v>610</v>
      </c>
      <c r="AA69" s="103"/>
      <c r="AB69" s="103"/>
      <c r="AC69" s="106"/>
      <c r="AD69" s="106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</row>
    <row r="70" s="96" customFormat="1" customHeight="1" spans="1:44">
      <c r="A70" s="95">
        <v>68</v>
      </c>
      <c r="B70" s="106">
        <v>4</v>
      </c>
      <c r="C70" s="107" t="s">
        <v>19</v>
      </c>
      <c r="D70" s="107" t="s">
        <v>20</v>
      </c>
      <c r="E70" s="105" t="s">
        <v>414</v>
      </c>
      <c r="F70" s="105" t="s">
        <v>101</v>
      </c>
      <c r="G70" s="105"/>
      <c r="H70" s="105">
        <f>SUMIFS([1]报表!$U:$U,[1]报表!$H:$H,F:F)</f>
        <v>49869</v>
      </c>
      <c r="I70" s="105" t="s">
        <v>60</v>
      </c>
      <c r="J70" s="105"/>
      <c r="K70" s="105"/>
      <c r="L70" s="107" t="str">
        <f>L69</f>
        <v>压铸</v>
      </c>
      <c r="M70" s="107" t="s">
        <v>599</v>
      </c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</row>
    <row r="71" s="96" customFormat="1" customHeight="1" spans="1:44">
      <c r="A71" s="95">
        <v>69</v>
      </c>
      <c r="B71" s="106">
        <v>4</v>
      </c>
      <c r="C71" s="107" t="s">
        <v>19</v>
      </c>
      <c r="D71" s="107" t="s">
        <v>20</v>
      </c>
      <c r="E71" s="105" t="s">
        <v>414</v>
      </c>
      <c r="F71" s="105" t="s">
        <v>101</v>
      </c>
      <c r="G71" s="105"/>
      <c r="H71" s="105">
        <f>SUMIFS([1]报表!$U:$U,[1]报表!$H:$H,F:F)</f>
        <v>49869</v>
      </c>
      <c r="I71" s="105" t="s">
        <v>60</v>
      </c>
      <c r="J71" s="105"/>
      <c r="K71" s="105"/>
      <c r="L71" s="107" t="s">
        <v>600</v>
      </c>
      <c r="M71" s="107" t="s">
        <v>598</v>
      </c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>
        <v>300</v>
      </c>
      <c r="AA71" s="103"/>
      <c r="AB71" s="103"/>
      <c r="AC71" s="106"/>
      <c r="AD71" s="106"/>
      <c r="AE71" s="106"/>
      <c r="AF71" s="106"/>
      <c r="AG71" s="106"/>
      <c r="AH71" s="103"/>
      <c r="AI71" s="103"/>
      <c r="AJ71" s="103"/>
      <c r="AK71" s="113"/>
      <c r="AL71" s="113"/>
      <c r="AM71" s="113"/>
      <c r="AN71" s="113"/>
      <c r="AO71" s="113"/>
      <c r="AP71" s="113"/>
      <c r="AQ71" s="113"/>
      <c r="AR71" s="113"/>
    </row>
    <row r="72" s="96" customFormat="1" customHeight="1" spans="1:44">
      <c r="A72" s="95">
        <v>70</v>
      </c>
      <c r="B72" s="106">
        <v>4</v>
      </c>
      <c r="C72" s="107" t="s">
        <v>19</v>
      </c>
      <c r="D72" s="107" t="s">
        <v>20</v>
      </c>
      <c r="E72" s="105" t="s">
        <v>414</v>
      </c>
      <c r="F72" s="105" t="s">
        <v>101</v>
      </c>
      <c r="G72" s="105"/>
      <c r="H72" s="105">
        <f>SUMIFS([1]报表!$U:$U,[1]报表!$H:$H,F:F)</f>
        <v>49869</v>
      </c>
      <c r="I72" s="105" t="s">
        <v>60</v>
      </c>
      <c r="J72" s="105"/>
      <c r="K72" s="105"/>
      <c r="L72" s="107" t="str">
        <f>L71</f>
        <v>机加</v>
      </c>
      <c r="M72" s="107" t="s">
        <v>599</v>
      </c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</row>
    <row r="73" s="96" customFormat="1" customHeight="1" spans="1:44">
      <c r="A73" s="95"/>
      <c r="B73" s="106">
        <v>4</v>
      </c>
      <c r="C73" s="107" t="s">
        <v>19</v>
      </c>
      <c r="D73" s="107" t="s">
        <v>20</v>
      </c>
      <c r="E73" s="105" t="s">
        <v>414</v>
      </c>
      <c r="F73" s="105" t="s">
        <v>101</v>
      </c>
      <c r="G73" s="105"/>
      <c r="H73" s="105">
        <f>SUMIFS([1]报表!$U:$U,[1]报表!$H:$H,F:F)</f>
        <v>49869</v>
      </c>
      <c r="I73" s="105" t="s">
        <v>60</v>
      </c>
      <c r="J73" s="105"/>
      <c r="K73" s="105"/>
      <c r="L73" s="107" t="s">
        <v>601</v>
      </c>
      <c r="M73" s="107" t="s">
        <v>619</v>
      </c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</row>
    <row r="74" s="96" customFormat="1" customHeight="1" spans="1:16374">
      <c r="A74" s="106">
        <v>71</v>
      </c>
      <c r="B74" s="107">
        <v>4</v>
      </c>
      <c r="C74" s="107" t="s">
        <v>19</v>
      </c>
      <c r="D74" s="105" t="s">
        <v>20</v>
      </c>
      <c r="E74" s="105" t="s">
        <v>414</v>
      </c>
      <c r="F74" s="105" t="s">
        <v>101</v>
      </c>
      <c r="G74" s="107" t="str">
        <f>_xlfn.DISPIMG("ID_FCC36832B0E54901B2452825CE371F81",1)</f>
        <v>=DISPIMG("ID_FCC36832B0E54901B2452825CE371F81",1)</v>
      </c>
      <c r="H74" s="105">
        <f>SUMIFS([1]报表!$U:$U,[1]报表!$H:$H,F:F)</f>
        <v>49869</v>
      </c>
      <c r="I74" s="105" t="s">
        <v>60</v>
      </c>
      <c r="J74" s="105"/>
      <c r="K74" s="107"/>
      <c r="L74" s="107" t="s">
        <v>601</v>
      </c>
      <c r="M74" s="106" t="s">
        <v>598</v>
      </c>
      <c r="N74" s="106"/>
      <c r="O74" s="106"/>
      <c r="P74" s="106"/>
      <c r="Q74" s="106"/>
      <c r="AA74" s="96">
        <v>300</v>
      </c>
      <c r="XED74" s="106"/>
      <c r="XEE74" s="107"/>
      <c r="XEF74" s="107"/>
      <c r="XEG74" s="105"/>
      <c r="XEH74" s="105"/>
      <c r="XEI74" s="105"/>
      <c r="XEJ74" s="107"/>
      <c r="XEK74" s="105"/>
      <c r="XEL74" s="105"/>
      <c r="XEM74" s="105"/>
      <c r="XEN74" s="107"/>
      <c r="XEO74" s="107"/>
      <c r="XEP74" s="106"/>
      <c r="XEQ74" s="106"/>
      <c r="XER74" s="106"/>
      <c r="XES74" s="106"/>
      <c r="XET74" s="106"/>
    </row>
    <row r="75" s="96" customFormat="1" customHeight="1" spans="1:44">
      <c r="A75" s="95">
        <v>72</v>
      </c>
      <c r="B75" s="106">
        <v>4</v>
      </c>
      <c r="C75" s="107" t="s">
        <v>19</v>
      </c>
      <c r="D75" s="107" t="s">
        <v>20</v>
      </c>
      <c r="E75" s="106" t="s">
        <v>414</v>
      </c>
      <c r="F75" s="107" t="s">
        <v>101</v>
      </c>
      <c r="G75" s="107"/>
      <c r="H75" s="105">
        <f>SUMIFS([1]报表!$U:$U,[1]报表!$H:$H,F:F)</f>
        <v>49869</v>
      </c>
      <c r="I75" s="105" t="s">
        <v>60</v>
      </c>
      <c r="J75" s="105"/>
      <c r="K75" s="105"/>
      <c r="L75" s="106" t="str">
        <f>L74</f>
        <v>磨抛</v>
      </c>
      <c r="M75" s="107" t="s">
        <v>599</v>
      </c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</row>
    <row r="76" s="96" customFormat="1" customHeight="1" spans="1:44">
      <c r="A76" s="95"/>
      <c r="B76" s="106">
        <v>4</v>
      </c>
      <c r="C76" s="107" t="s">
        <v>19</v>
      </c>
      <c r="D76" s="107" t="s">
        <v>20</v>
      </c>
      <c r="E76" s="106" t="s">
        <v>414</v>
      </c>
      <c r="F76" s="107" t="s">
        <v>101</v>
      </c>
      <c r="G76" s="107"/>
      <c r="H76" s="105">
        <f>SUMIFS([1]报表!$U:$U,[1]报表!$H:$H,F:F)</f>
        <v>49869</v>
      </c>
      <c r="I76" s="105" t="s">
        <v>60</v>
      </c>
      <c r="J76" s="105"/>
      <c r="K76" s="105"/>
      <c r="L76" s="106" t="str">
        <f>L75</f>
        <v>磨抛</v>
      </c>
      <c r="M76" s="107" t="s">
        <v>620</v>
      </c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</row>
    <row r="77" s="96" customFormat="1" customHeight="1" spans="1:44">
      <c r="A77" s="95">
        <v>73</v>
      </c>
      <c r="B77" s="106">
        <v>5</v>
      </c>
      <c r="C77" s="107" t="s">
        <v>19</v>
      </c>
      <c r="D77" s="107" t="s">
        <v>20</v>
      </c>
      <c r="E77" s="105" t="s">
        <v>441</v>
      </c>
      <c r="F77" s="109" t="s">
        <v>101</v>
      </c>
      <c r="G77" s="109"/>
      <c r="H77" s="105">
        <f>SUMIFS([1]报表!$U:$U,[1]报表!$H:$H,F:F)</f>
        <v>49869</v>
      </c>
      <c r="I77" s="105" t="s">
        <v>60</v>
      </c>
      <c r="J77" s="105"/>
      <c r="K77" s="105"/>
      <c r="L77" s="107" t="s">
        <v>597</v>
      </c>
      <c r="M77" s="107" t="s">
        <v>598</v>
      </c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>
        <v>4000</v>
      </c>
      <c r="AA77" s="103">
        <v>4000</v>
      </c>
      <c r="AB77" s="103">
        <v>4000</v>
      </c>
      <c r="AC77" s="106">
        <v>4000</v>
      </c>
      <c r="AD77" s="106" t="s">
        <v>610</v>
      </c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</row>
    <row r="78" s="96" customFormat="1" customHeight="1" spans="1:44">
      <c r="A78" s="95">
        <v>74</v>
      </c>
      <c r="B78" s="106">
        <v>5</v>
      </c>
      <c r="C78" s="107" t="s">
        <v>19</v>
      </c>
      <c r="D78" s="107" t="s">
        <v>20</v>
      </c>
      <c r="E78" s="105" t="s">
        <v>441</v>
      </c>
      <c r="F78" s="105" t="s">
        <v>101</v>
      </c>
      <c r="G78" s="105"/>
      <c r="H78" s="105">
        <f>SUMIFS([1]报表!$U:$U,[1]报表!$H:$H,F:F)</f>
        <v>49869</v>
      </c>
      <c r="I78" s="105" t="s">
        <v>60</v>
      </c>
      <c r="J78" s="105"/>
      <c r="K78" s="105"/>
      <c r="L78" s="107" t="str">
        <f>L77</f>
        <v>压铸</v>
      </c>
      <c r="M78" s="107" t="s">
        <v>599</v>
      </c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</row>
    <row r="79" s="96" customFormat="1" customHeight="1" spans="1:44">
      <c r="A79" s="95">
        <v>75</v>
      </c>
      <c r="B79" s="106">
        <v>5</v>
      </c>
      <c r="C79" s="107" t="s">
        <v>19</v>
      </c>
      <c r="D79" s="107" t="s">
        <v>20</v>
      </c>
      <c r="E79" s="105" t="s">
        <v>441</v>
      </c>
      <c r="F79" s="105" t="s">
        <v>101</v>
      </c>
      <c r="G79" s="105"/>
      <c r="H79" s="105">
        <f>SUMIFS([1]报表!$U:$U,[1]报表!$H:$H,F:F)</f>
        <v>49869</v>
      </c>
      <c r="I79" s="105" t="s">
        <v>60</v>
      </c>
      <c r="J79" s="105"/>
      <c r="K79" s="105"/>
      <c r="L79" s="107" t="s">
        <v>600</v>
      </c>
      <c r="M79" s="107" t="s">
        <v>598</v>
      </c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>
        <v>3800</v>
      </c>
      <c r="AB79" s="103">
        <v>3800</v>
      </c>
      <c r="AC79" s="106">
        <v>3800</v>
      </c>
      <c r="AD79" s="106">
        <v>3800</v>
      </c>
      <c r="AE79" s="106">
        <v>3800</v>
      </c>
      <c r="AF79" s="106">
        <v>3800</v>
      </c>
      <c r="AG79" s="106">
        <v>3800</v>
      </c>
      <c r="AH79" s="103">
        <v>3800</v>
      </c>
      <c r="AI79" s="103">
        <v>3800</v>
      </c>
      <c r="AJ79" s="103">
        <v>3800</v>
      </c>
      <c r="AK79" s="113"/>
      <c r="AL79" s="113"/>
      <c r="AM79" s="113"/>
      <c r="AN79" s="113"/>
      <c r="AO79" s="113"/>
      <c r="AP79" s="113"/>
      <c r="AQ79" s="113"/>
      <c r="AR79" s="113"/>
    </row>
    <row r="80" s="96" customFormat="1" customHeight="1" spans="1:44">
      <c r="A80" s="95">
        <v>76</v>
      </c>
      <c r="B80" s="106">
        <v>5</v>
      </c>
      <c r="C80" s="107" t="s">
        <v>19</v>
      </c>
      <c r="D80" s="107" t="s">
        <v>20</v>
      </c>
      <c r="E80" s="105" t="s">
        <v>441</v>
      </c>
      <c r="F80" s="105" t="s">
        <v>101</v>
      </c>
      <c r="G80" s="105"/>
      <c r="H80" s="105">
        <f>SUMIFS([1]报表!$U:$U,[1]报表!$H:$H,F:F)</f>
        <v>49869</v>
      </c>
      <c r="I80" s="105" t="s">
        <v>60</v>
      </c>
      <c r="J80" s="105"/>
      <c r="K80" s="105"/>
      <c r="L80" s="107" t="str">
        <f>L79</f>
        <v>机加</v>
      </c>
      <c r="M80" s="107" t="s">
        <v>599</v>
      </c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</row>
    <row r="81" s="96" customFormat="1" customHeight="1" spans="1:16374">
      <c r="A81" s="106">
        <v>77</v>
      </c>
      <c r="B81" s="107">
        <v>5</v>
      </c>
      <c r="C81" s="107" t="s">
        <v>19</v>
      </c>
      <c r="D81" s="105" t="s">
        <v>20</v>
      </c>
      <c r="E81" s="105" t="s">
        <v>441</v>
      </c>
      <c r="F81" s="105" t="s">
        <v>101</v>
      </c>
      <c r="G81" s="107" t="str">
        <f>_xlfn.DISPIMG("ID_866A66A7A28843DDBCB557398121B03A",1)</f>
        <v>=DISPIMG("ID_866A66A7A28843DDBCB557398121B03A",1)</v>
      </c>
      <c r="H81" s="105">
        <f>SUMIFS([1]报表!$U:$U,[1]报表!$H:$H,F:F)</f>
        <v>49869</v>
      </c>
      <c r="I81" s="105" t="s">
        <v>60</v>
      </c>
      <c r="J81" s="105"/>
      <c r="K81" s="107"/>
      <c r="L81" s="107" t="s">
        <v>601</v>
      </c>
      <c r="M81" s="106" t="s">
        <v>598</v>
      </c>
      <c r="N81" s="106"/>
      <c r="O81" s="106"/>
      <c r="P81" s="106"/>
      <c r="Q81" s="106"/>
      <c r="AA81" s="96">
        <v>3500</v>
      </c>
      <c r="AB81" s="96">
        <v>3500</v>
      </c>
      <c r="AC81" s="96">
        <v>3500</v>
      </c>
      <c r="AD81" s="96">
        <v>3500</v>
      </c>
      <c r="AE81" s="96">
        <v>3500</v>
      </c>
      <c r="AF81" s="96">
        <v>3500</v>
      </c>
      <c r="AG81" s="96">
        <v>3500</v>
      </c>
      <c r="AH81" s="96">
        <v>3500</v>
      </c>
      <c r="AI81" s="96">
        <v>3500</v>
      </c>
      <c r="AJ81" s="96">
        <v>3500</v>
      </c>
      <c r="AT81" s="96" t="s">
        <v>617</v>
      </c>
      <c r="XED81" s="106"/>
      <c r="XEE81" s="107"/>
      <c r="XEF81" s="107"/>
      <c r="XEG81" s="105"/>
      <c r="XEH81" s="105"/>
      <c r="XEI81" s="105"/>
      <c r="XEJ81" s="107"/>
      <c r="XEK81" s="105"/>
      <c r="XEL81" s="105"/>
      <c r="XEM81" s="105"/>
      <c r="XEN81" s="107"/>
      <c r="XEO81" s="107"/>
      <c r="XEP81" s="106"/>
      <c r="XEQ81" s="106"/>
      <c r="XER81" s="106"/>
      <c r="XES81" s="106"/>
      <c r="XET81" s="106"/>
    </row>
    <row r="82" s="96" customFormat="1" customHeight="1" spans="1:44">
      <c r="A82" s="95">
        <v>78</v>
      </c>
      <c r="B82" s="106">
        <v>5</v>
      </c>
      <c r="C82" s="107" t="s">
        <v>19</v>
      </c>
      <c r="D82" s="107" t="s">
        <v>20</v>
      </c>
      <c r="E82" s="106" t="s">
        <v>441</v>
      </c>
      <c r="F82" s="107" t="s">
        <v>101</v>
      </c>
      <c r="G82" s="107"/>
      <c r="H82" s="105">
        <f>SUMIFS([1]报表!$U:$U,[1]报表!$H:$H,F:F)</f>
        <v>49869</v>
      </c>
      <c r="I82" s="105" t="s">
        <v>60</v>
      </c>
      <c r="J82" s="105"/>
      <c r="K82" s="105"/>
      <c r="L82" s="106" t="str">
        <f>L81</f>
        <v>磨抛</v>
      </c>
      <c r="M82" s="107" t="s">
        <v>599</v>
      </c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13">
        <f>969+151+1000</f>
        <v>2120</v>
      </c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</row>
    <row r="83" s="96" customFormat="1" customHeight="1" spans="1:44">
      <c r="A83" s="95">
        <v>79</v>
      </c>
      <c r="B83" s="106">
        <v>6</v>
      </c>
      <c r="C83" s="107" t="s">
        <v>19</v>
      </c>
      <c r="D83" s="107" t="s">
        <v>20</v>
      </c>
      <c r="E83" s="105" t="s">
        <v>441</v>
      </c>
      <c r="F83" s="109" t="s">
        <v>162</v>
      </c>
      <c r="G83" s="109"/>
      <c r="H83" s="105">
        <f>SUMIFS([1]报表!$U:$U,[1]报表!$H:$H,F:F)</f>
        <v>2300</v>
      </c>
      <c r="I83" s="105" t="s">
        <v>60</v>
      </c>
      <c r="J83" s="105"/>
      <c r="K83" s="105"/>
      <c r="L83" s="107" t="s">
        <v>597</v>
      </c>
      <c r="M83" s="107" t="s">
        <v>598</v>
      </c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 t="s">
        <v>610</v>
      </c>
      <c r="AA83" s="103"/>
      <c r="AB83" s="10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</row>
    <row r="84" s="96" customFormat="1" customHeight="1" spans="1:44">
      <c r="A84" s="95">
        <v>80</v>
      </c>
      <c r="B84" s="106">
        <v>6</v>
      </c>
      <c r="C84" s="107" t="s">
        <v>19</v>
      </c>
      <c r="D84" s="107" t="s">
        <v>20</v>
      </c>
      <c r="E84" s="105" t="s">
        <v>441</v>
      </c>
      <c r="F84" s="105" t="s">
        <v>162</v>
      </c>
      <c r="G84" s="105"/>
      <c r="H84" s="105">
        <f>SUMIFS([1]报表!$U:$U,[1]报表!$H:$H,F:F)</f>
        <v>2300</v>
      </c>
      <c r="I84" s="105" t="s">
        <v>60</v>
      </c>
      <c r="J84" s="105"/>
      <c r="K84" s="105"/>
      <c r="L84" s="107" t="str">
        <f>L83</f>
        <v>压铸</v>
      </c>
      <c r="M84" s="107" t="s">
        <v>599</v>
      </c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</row>
    <row r="85" s="96" customFormat="1" customHeight="1" spans="1:44">
      <c r="A85" s="95">
        <v>81</v>
      </c>
      <c r="B85" s="106">
        <v>6</v>
      </c>
      <c r="C85" s="107" t="s">
        <v>19</v>
      </c>
      <c r="D85" s="107" t="s">
        <v>20</v>
      </c>
      <c r="E85" s="105" t="s">
        <v>441</v>
      </c>
      <c r="F85" s="105" t="s">
        <v>162</v>
      </c>
      <c r="G85" s="105"/>
      <c r="H85" s="105">
        <f>SUMIFS([1]报表!$U:$U,[1]报表!$H:$H,F:F)</f>
        <v>2300</v>
      </c>
      <c r="I85" s="105" t="s">
        <v>60</v>
      </c>
      <c r="J85" s="105"/>
      <c r="K85" s="105"/>
      <c r="L85" s="107" t="s">
        <v>600</v>
      </c>
      <c r="M85" s="107" t="s">
        <v>598</v>
      </c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13"/>
      <c r="AD85" s="113"/>
      <c r="AE85" s="113" t="s">
        <v>611</v>
      </c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</row>
    <row r="86" s="96" customFormat="1" customHeight="1" spans="1:44">
      <c r="A86" s="95">
        <v>82</v>
      </c>
      <c r="B86" s="106">
        <v>6</v>
      </c>
      <c r="C86" s="107" t="s">
        <v>19</v>
      </c>
      <c r="D86" s="107" t="s">
        <v>20</v>
      </c>
      <c r="E86" s="105" t="s">
        <v>441</v>
      </c>
      <c r="F86" s="105" t="s">
        <v>162</v>
      </c>
      <c r="G86" s="105"/>
      <c r="H86" s="105">
        <f>SUMIFS([1]报表!$U:$U,[1]报表!$H:$H,F:F)</f>
        <v>2300</v>
      </c>
      <c r="I86" s="105" t="s">
        <v>60</v>
      </c>
      <c r="J86" s="105"/>
      <c r="K86" s="105"/>
      <c r="L86" s="107" t="str">
        <f>L85</f>
        <v>机加</v>
      </c>
      <c r="M86" s="107" t="s">
        <v>599</v>
      </c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</row>
    <row r="87" s="96" customFormat="1" customHeight="1" spans="1:16374">
      <c r="A87" s="106">
        <v>83</v>
      </c>
      <c r="B87" s="107">
        <v>6</v>
      </c>
      <c r="C87" s="107" t="s">
        <v>19</v>
      </c>
      <c r="D87" s="105" t="s">
        <v>20</v>
      </c>
      <c r="E87" s="105" t="s">
        <v>441</v>
      </c>
      <c r="F87" s="105" t="s">
        <v>162</v>
      </c>
      <c r="G87" s="107" t="str">
        <f>_xlfn.DISPIMG("ID_A136C690163742CFA00E5B1FF0AEA71C",1)</f>
        <v>=DISPIMG("ID_A136C690163742CFA00E5B1FF0AEA71C",1)</v>
      </c>
      <c r="H87" s="105">
        <f>SUMIFS([1]报表!$U:$U,[1]报表!$H:$H,F:F)</f>
        <v>2300</v>
      </c>
      <c r="I87" s="105" t="s">
        <v>60</v>
      </c>
      <c r="J87" s="105"/>
      <c r="K87" s="107"/>
      <c r="L87" s="107" t="s">
        <v>601</v>
      </c>
      <c r="M87" s="106" t="s">
        <v>598</v>
      </c>
      <c r="N87" s="106"/>
      <c r="O87" s="106"/>
      <c r="P87" s="106"/>
      <c r="Q87" s="106"/>
      <c r="AG87" s="96" t="s">
        <v>621</v>
      </c>
      <c r="AT87" s="96" t="s">
        <v>622</v>
      </c>
      <c r="XED87" s="106"/>
      <c r="XEE87" s="107"/>
      <c r="XEF87" s="107"/>
      <c r="XEG87" s="105"/>
      <c r="XEH87" s="105"/>
      <c r="XEI87" s="105"/>
      <c r="XEJ87" s="107"/>
      <c r="XEK87" s="105"/>
      <c r="XEL87" s="105"/>
      <c r="XEM87" s="105"/>
      <c r="XEN87" s="107"/>
      <c r="XEO87" s="107"/>
      <c r="XEP87" s="106"/>
      <c r="XEQ87" s="106"/>
      <c r="XER87" s="106"/>
      <c r="XES87" s="106"/>
      <c r="XET87" s="106"/>
    </row>
    <row r="88" s="96" customFormat="1" customHeight="1" spans="1:44">
      <c r="A88" s="95">
        <v>84</v>
      </c>
      <c r="B88" s="106">
        <v>6</v>
      </c>
      <c r="C88" s="107" t="s">
        <v>19</v>
      </c>
      <c r="D88" s="107" t="s">
        <v>20</v>
      </c>
      <c r="E88" s="106" t="s">
        <v>441</v>
      </c>
      <c r="F88" s="107" t="s">
        <v>162</v>
      </c>
      <c r="G88" s="107"/>
      <c r="H88" s="105">
        <f>SUMIFS([1]报表!$U:$U,[1]报表!$H:$H,F:F)</f>
        <v>2300</v>
      </c>
      <c r="I88" s="105" t="s">
        <v>60</v>
      </c>
      <c r="J88" s="105"/>
      <c r="K88" s="105"/>
      <c r="L88" s="106" t="str">
        <f>L87</f>
        <v>磨抛</v>
      </c>
      <c r="M88" s="107" t="s">
        <v>599</v>
      </c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</row>
    <row r="89" s="96" customFormat="1" customHeight="1" spans="1:44">
      <c r="A89" s="95">
        <v>85</v>
      </c>
      <c r="B89" s="106">
        <v>7</v>
      </c>
      <c r="C89" s="107" t="s">
        <v>19</v>
      </c>
      <c r="D89" s="107" t="s">
        <v>20</v>
      </c>
      <c r="E89" s="105" t="s">
        <v>441</v>
      </c>
      <c r="F89" s="109" t="s">
        <v>163</v>
      </c>
      <c r="G89" s="109"/>
      <c r="H89" s="105">
        <f>SUMIFS([1]报表!$U:$U,[1]报表!$H:$H,F:F)</f>
        <v>2287</v>
      </c>
      <c r="I89" s="105" t="s">
        <v>60</v>
      </c>
      <c r="J89" s="105"/>
      <c r="K89" s="105"/>
      <c r="L89" s="107" t="s">
        <v>597</v>
      </c>
      <c r="M89" s="107" t="s">
        <v>598</v>
      </c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 t="s">
        <v>610</v>
      </c>
      <c r="AA89" s="103"/>
      <c r="AB89" s="10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</row>
    <row r="90" s="96" customFormat="1" customHeight="1" spans="1:44">
      <c r="A90" s="95">
        <v>86</v>
      </c>
      <c r="B90" s="106">
        <v>7</v>
      </c>
      <c r="C90" s="107" t="s">
        <v>19</v>
      </c>
      <c r="D90" s="107" t="s">
        <v>20</v>
      </c>
      <c r="E90" s="105" t="s">
        <v>441</v>
      </c>
      <c r="F90" s="105" t="s">
        <v>163</v>
      </c>
      <c r="G90" s="105"/>
      <c r="H90" s="105">
        <f>SUMIFS([1]报表!$U:$U,[1]报表!$H:$H,F:F)</f>
        <v>2287</v>
      </c>
      <c r="I90" s="105" t="s">
        <v>60</v>
      </c>
      <c r="J90" s="105"/>
      <c r="K90" s="105"/>
      <c r="L90" s="107" t="str">
        <f>L89</f>
        <v>压铸</v>
      </c>
      <c r="M90" s="107" t="s">
        <v>599</v>
      </c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</row>
    <row r="91" s="96" customFormat="1" customHeight="1" spans="1:44">
      <c r="A91" s="95">
        <v>87</v>
      </c>
      <c r="B91" s="106">
        <v>7</v>
      </c>
      <c r="C91" s="107" t="s">
        <v>19</v>
      </c>
      <c r="D91" s="107" t="s">
        <v>20</v>
      </c>
      <c r="E91" s="105" t="s">
        <v>441</v>
      </c>
      <c r="F91" s="105" t="s">
        <v>163</v>
      </c>
      <c r="G91" s="105"/>
      <c r="H91" s="105">
        <f>SUMIFS([1]报表!$U:$U,[1]报表!$H:$H,F:F)</f>
        <v>2287</v>
      </c>
      <c r="I91" s="105" t="s">
        <v>60</v>
      </c>
      <c r="J91" s="105"/>
      <c r="K91" s="105"/>
      <c r="L91" s="107" t="s">
        <v>600</v>
      </c>
      <c r="M91" s="107" t="s">
        <v>598</v>
      </c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 t="s">
        <v>611</v>
      </c>
      <c r="AA91" s="103"/>
      <c r="AB91" s="10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</row>
    <row r="92" s="96" customFormat="1" customHeight="1" spans="1:44">
      <c r="A92" s="95">
        <v>88</v>
      </c>
      <c r="B92" s="106">
        <v>7</v>
      </c>
      <c r="C92" s="107" t="s">
        <v>19</v>
      </c>
      <c r="D92" s="107" t="s">
        <v>20</v>
      </c>
      <c r="E92" s="105" t="s">
        <v>441</v>
      </c>
      <c r="F92" s="105" t="s">
        <v>163</v>
      </c>
      <c r="G92" s="105"/>
      <c r="H92" s="105">
        <f>SUMIFS([1]报表!$U:$U,[1]报表!$H:$H,F:F)</f>
        <v>2287</v>
      </c>
      <c r="I92" s="105" t="s">
        <v>60</v>
      </c>
      <c r="J92" s="105"/>
      <c r="K92" s="105"/>
      <c r="L92" s="107" t="str">
        <f>L91</f>
        <v>机加</v>
      </c>
      <c r="M92" s="107" t="s">
        <v>599</v>
      </c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</row>
    <row r="93" s="96" customFormat="1" customHeight="1" spans="1:16374">
      <c r="A93" s="106">
        <v>89</v>
      </c>
      <c r="B93" s="107">
        <v>7</v>
      </c>
      <c r="C93" s="107" t="s">
        <v>19</v>
      </c>
      <c r="D93" s="105" t="s">
        <v>20</v>
      </c>
      <c r="E93" s="105" t="s">
        <v>441</v>
      </c>
      <c r="F93" s="105" t="s">
        <v>163</v>
      </c>
      <c r="G93" s="107" t="str">
        <f>_xlfn.DISPIMG("ID_2ADEE1CA5CC14E438DAEE8541C920017",1)</f>
        <v>=DISPIMG("ID_2ADEE1CA5CC14E438DAEE8541C920017",1)</v>
      </c>
      <c r="H93" s="105">
        <f>SUMIFS([1]报表!$U:$U,[1]报表!$H:$H,F:F)</f>
        <v>2287</v>
      </c>
      <c r="I93" s="105" t="s">
        <v>60</v>
      </c>
      <c r="J93" s="105"/>
      <c r="K93" s="107"/>
      <c r="L93" s="107" t="s">
        <v>601</v>
      </c>
      <c r="M93" s="106" t="s">
        <v>598</v>
      </c>
      <c r="N93" s="106"/>
      <c r="O93" s="106"/>
      <c r="P93" s="106"/>
      <c r="Q93" s="106"/>
      <c r="AA93" s="96">
        <v>1500</v>
      </c>
      <c r="AB93" s="96">
        <v>1500</v>
      </c>
      <c r="AC93" s="96">
        <v>1500</v>
      </c>
      <c r="AD93" s="96">
        <v>1500</v>
      </c>
      <c r="AT93" s="96" t="s">
        <v>623</v>
      </c>
      <c r="XED93" s="106"/>
      <c r="XEE93" s="107"/>
      <c r="XEF93" s="107"/>
      <c r="XEG93" s="105"/>
      <c r="XEH93" s="105"/>
      <c r="XEI93" s="105"/>
      <c r="XEJ93" s="107"/>
      <c r="XEK93" s="105"/>
      <c r="XEL93" s="105"/>
      <c r="XEM93" s="105"/>
      <c r="XEN93" s="107"/>
      <c r="XEO93" s="107"/>
      <c r="XEP93" s="106"/>
      <c r="XEQ93" s="106"/>
      <c r="XER93" s="106"/>
      <c r="XES93" s="106"/>
      <c r="XET93" s="106"/>
    </row>
    <row r="94" s="96" customFormat="1" customHeight="1" spans="1:44">
      <c r="A94" s="95">
        <v>90</v>
      </c>
      <c r="B94" s="106">
        <v>7</v>
      </c>
      <c r="C94" s="107" t="s">
        <v>19</v>
      </c>
      <c r="D94" s="107" t="s">
        <v>20</v>
      </c>
      <c r="E94" s="106" t="s">
        <v>441</v>
      </c>
      <c r="F94" s="107" t="s">
        <v>163</v>
      </c>
      <c r="G94" s="107"/>
      <c r="H94" s="105">
        <f>SUMIFS([1]报表!$U:$U,[1]报表!$H:$H,F:F)</f>
        <v>2287</v>
      </c>
      <c r="I94" s="105" t="s">
        <v>60</v>
      </c>
      <c r="J94" s="105"/>
      <c r="K94" s="105"/>
      <c r="L94" s="106" t="str">
        <f>L93</f>
        <v>磨抛</v>
      </c>
      <c r="M94" s="107" t="s">
        <v>599</v>
      </c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13">
        <f>1495+306</f>
        <v>1801</v>
      </c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</row>
    <row r="95" s="96" customFormat="1" customHeight="1" spans="1:44">
      <c r="A95" s="95">
        <v>91</v>
      </c>
      <c r="B95" s="106">
        <v>8</v>
      </c>
      <c r="C95" s="107" t="s">
        <v>19</v>
      </c>
      <c r="D95" s="107" t="s">
        <v>20</v>
      </c>
      <c r="E95" s="105" t="s">
        <v>441</v>
      </c>
      <c r="F95" s="109" t="s">
        <v>164</v>
      </c>
      <c r="G95" s="109"/>
      <c r="H95" s="105">
        <f>SUMIFS([1]报表!$U:$U,[1]报表!$H:$H,F:F)</f>
        <v>2100</v>
      </c>
      <c r="I95" s="105" t="s">
        <v>60</v>
      </c>
      <c r="J95" s="105"/>
      <c r="K95" s="105"/>
      <c r="L95" s="107" t="s">
        <v>597</v>
      </c>
      <c r="M95" s="107" t="s">
        <v>598</v>
      </c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 t="s">
        <v>610</v>
      </c>
      <c r="AA95" s="103"/>
      <c r="AB95" s="10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</row>
    <row r="96" s="96" customFormat="1" customHeight="1" spans="1:44">
      <c r="A96" s="95">
        <v>92</v>
      </c>
      <c r="B96" s="106">
        <v>8</v>
      </c>
      <c r="C96" s="107" t="s">
        <v>19</v>
      </c>
      <c r="D96" s="107" t="s">
        <v>20</v>
      </c>
      <c r="E96" s="105" t="s">
        <v>441</v>
      </c>
      <c r="F96" s="105" t="s">
        <v>164</v>
      </c>
      <c r="G96" s="105"/>
      <c r="H96" s="105">
        <f>SUMIFS([1]报表!$U:$U,[1]报表!$H:$H,F:F)</f>
        <v>2100</v>
      </c>
      <c r="I96" s="105" t="s">
        <v>60</v>
      </c>
      <c r="J96" s="105"/>
      <c r="K96" s="105"/>
      <c r="L96" s="107" t="str">
        <f>L95</f>
        <v>压铸</v>
      </c>
      <c r="M96" s="107" t="s">
        <v>599</v>
      </c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</row>
    <row r="97" s="96" customFormat="1" customHeight="1" spans="1:44">
      <c r="A97" s="95">
        <v>93</v>
      </c>
      <c r="B97" s="106">
        <v>8</v>
      </c>
      <c r="C97" s="107" t="s">
        <v>19</v>
      </c>
      <c r="D97" s="107" t="s">
        <v>20</v>
      </c>
      <c r="E97" s="105" t="s">
        <v>441</v>
      </c>
      <c r="F97" s="105" t="s">
        <v>164</v>
      </c>
      <c r="G97" s="105"/>
      <c r="H97" s="105">
        <f>SUMIFS([1]报表!$U:$U,[1]报表!$H:$H,F:F)</f>
        <v>2100</v>
      </c>
      <c r="I97" s="105" t="s">
        <v>60</v>
      </c>
      <c r="J97" s="105"/>
      <c r="K97" s="105"/>
      <c r="L97" s="107" t="s">
        <v>600</v>
      </c>
      <c r="M97" s="107" t="s">
        <v>598</v>
      </c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>
        <v>700</v>
      </c>
      <c r="AB97" s="103"/>
      <c r="AC97" s="106">
        <v>700</v>
      </c>
      <c r="AD97" s="106"/>
      <c r="AE97" s="106">
        <v>700</v>
      </c>
      <c r="AF97" s="106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</row>
    <row r="98" s="96" customFormat="1" customHeight="1" spans="1:44">
      <c r="A98" s="95">
        <v>94</v>
      </c>
      <c r="B98" s="106">
        <v>8</v>
      </c>
      <c r="C98" s="107" t="s">
        <v>19</v>
      </c>
      <c r="D98" s="107" t="s">
        <v>20</v>
      </c>
      <c r="E98" s="105" t="s">
        <v>441</v>
      </c>
      <c r="F98" s="105" t="s">
        <v>164</v>
      </c>
      <c r="G98" s="105"/>
      <c r="H98" s="105">
        <f>SUMIFS([1]报表!$U:$U,[1]报表!$H:$H,F:F)</f>
        <v>2100</v>
      </c>
      <c r="I98" s="105" t="s">
        <v>60</v>
      </c>
      <c r="J98" s="105"/>
      <c r="K98" s="105"/>
      <c r="L98" s="107" t="str">
        <f>L97</f>
        <v>机加</v>
      </c>
      <c r="M98" s="107" t="s">
        <v>599</v>
      </c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</row>
    <row r="99" s="96" customFormat="1" customHeight="1" spans="1:16374">
      <c r="A99" s="106">
        <v>95</v>
      </c>
      <c r="B99" s="107">
        <v>8</v>
      </c>
      <c r="C99" s="107" t="s">
        <v>19</v>
      </c>
      <c r="D99" s="105" t="s">
        <v>20</v>
      </c>
      <c r="E99" s="105" t="s">
        <v>441</v>
      </c>
      <c r="F99" s="105" t="s">
        <v>164</v>
      </c>
      <c r="G99" s="107" t="str">
        <f>_xlfn.DISPIMG("ID_3CEBA93D765B4FBAA5E274A96069DF55",1)</f>
        <v>=DISPIMG("ID_3CEBA93D765B4FBAA5E274A96069DF55",1)</v>
      </c>
      <c r="H99" s="105">
        <f>SUMIFS([1]报表!$U:$U,[1]报表!$H:$H,F:F)</f>
        <v>2100</v>
      </c>
      <c r="I99" s="105" t="s">
        <v>60</v>
      </c>
      <c r="J99" s="105"/>
      <c r="K99" s="107"/>
      <c r="L99" s="107" t="s">
        <v>601</v>
      </c>
      <c r="M99" s="106" t="s">
        <v>598</v>
      </c>
      <c r="N99" s="106"/>
      <c r="O99" s="106"/>
      <c r="P99" s="106"/>
      <c r="Q99" s="106"/>
      <c r="AI99" s="96" t="s">
        <v>621</v>
      </c>
      <c r="AT99" s="96" t="s">
        <v>624</v>
      </c>
      <c r="XED99" s="106"/>
      <c r="XEE99" s="107"/>
      <c r="XEF99" s="107"/>
      <c r="XEG99" s="105"/>
      <c r="XEH99" s="105"/>
      <c r="XEI99" s="105"/>
      <c r="XEJ99" s="107"/>
      <c r="XEK99" s="105"/>
      <c r="XEL99" s="105"/>
      <c r="XEM99" s="105"/>
      <c r="XEN99" s="107"/>
      <c r="XEO99" s="107"/>
      <c r="XEP99" s="106"/>
      <c r="XEQ99" s="106"/>
      <c r="XER99" s="106"/>
      <c r="XES99" s="106"/>
      <c r="XET99" s="106"/>
    </row>
    <row r="100" s="96" customFormat="1" customHeight="1" spans="1:44">
      <c r="A100" s="95">
        <v>96</v>
      </c>
      <c r="B100" s="106">
        <v>8</v>
      </c>
      <c r="C100" s="107" t="s">
        <v>19</v>
      </c>
      <c r="D100" s="107" t="s">
        <v>20</v>
      </c>
      <c r="E100" s="106" t="s">
        <v>441</v>
      </c>
      <c r="F100" s="107" t="s">
        <v>164</v>
      </c>
      <c r="G100" s="107"/>
      <c r="H100" s="105">
        <f>SUMIFS([1]报表!$U:$U,[1]报表!$H:$H,F:F)</f>
        <v>2100</v>
      </c>
      <c r="I100" s="105" t="s">
        <v>60</v>
      </c>
      <c r="J100" s="105"/>
      <c r="K100" s="105"/>
      <c r="L100" s="106" t="str">
        <f>L99</f>
        <v>磨抛</v>
      </c>
      <c r="M100" s="107" t="s">
        <v>599</v>
      </c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</row>
    <row r="101" s="96" customFormat="1" customHeight="1" spans="1:44">
      <c r="A101" s="95">
        <v>97</v>
      </c>
      <c r="B101" s="106">
        <v>9</v>
      </c>
      <c r="C101" s="107" t="s">
        <v>19</v>
      </c>
      <c r="D101" s="107" t="s">
        <v>20</v>
      </c>
      <c r="E101" s="105" t="s">
        <v>441</v>
      </c>
      <c r="F101" s="109" t="s">
        <v>165</v>
      </c>
      <c r="G101" s="109"/>
      <c r="H101" s="105">
        <f>SUMIFS([1]报表!$U:$U,[1]报表!$H:$H,F:F)</f>
        <v>66141</v>
      </c>
      <c r="I101" s="105" t="s">
        <v>60</v>
      </c>
      <c r="J101" s="105"/>
      <c r="K101" s="105"/>
      <c r="L101" s="107" t="s">
        <v>597</v>
      </c>
      <c r="M101" s="107" t="s">
        <v>598</v>
      </c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14">
        <v>10000</v>
      </c>
      <c r="AA101" s="114">
        <v>10000</v>
      </c>
      <c r="AB101" s="114">
        <v>10000</v>
      </c>
      <c r="AC101" s="113" t="s">
        <v>625</v>
      </c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</row>
    <row r="102" s="96" customFormat="1" customHeight="1" spans="1:44">
      <c r="A102" s="95">
        <v>98</v>
      </c>
      <c r="B102" s="106">
        <v>9</v>
      </c>
      <c r="C102" s="107" t="s">
        <v>19</v>
      </c>
      <c r="D102" s="107" t="s">
        <v>20</v>
      </c>
      <c r="E102" s="113" t="s">
        <v>441</v>
      </c>
      <c r="F102" s="105" t="s">
        <v>165</v>
      </c>
      <c r="G102" s="105"/>
      <c r="H102" s="105">
        <f>SUMIFS([1]报表!$U:$U,[1]报表!$H:$H,F:F)</f>
        <v>66141</v>
      </c>
      <c r="I102" s="105" t="s">
        <v>60</v>
      </c>
      <c r="J102" s="105"/>
      <c r="K102" s="105"/>
      <c r="L102" s="107" t="str">
        <f>L101</f>
        <v>压铸</v>
      </c>
      <c r="M102" s="107" t="s">
        <v>599</v>
      </c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</row>
    <row r="103" s="96" customFormat="1" customHeight="1" spans="1:44">
      <c r="A103" s="95">
        <v>99</v>
      </c>
      <c r="B103" s="106">
        <v>9</v>
      </c>
      <c r="C103" s="107" t="s">
        <v>19</v>
      </c>
      <c r="D103" s="107" t="s">
        <v>20</v>
      </c>
      <c r="E103" s="105" t="s">
        <v>441</v>
      </c>
      <c r="F103" s="105" t="s">
        <v>165</v>
      </c>
      <c r="G103" s="105"/>
      <c r="H103" s="105">
        <f>SUMIFS([1]报表!$U:$U,[1]报表!$H:$H,F:F)</f>
        <v>66141</v>
      </c>
      <c r="I103" s="105" t="s">
        <v>60</v>
      </c>
      <c r="J103" s="105"/>
      <c r="K103" s="105"/>
      <c r="L103" s="107" t="s">
        <v>600</v>
      </c>
      <c r="M103" s="107" t="s">
        <v>598</v>
      </c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>
        <v>6000</v>
      </c>
      <c r="AA103" s="113">
        <v>6000</v>
      </c>
      <c r="AB103" s="113">
        <v>6000</v>
      </c>
      <c r="AC103" s="113">
        <v>6000</v>
      </c>
      <c r="AD103" s="113">
        <v>6000</v>
      </c>
      <c r="AE103" s="113">
        <v>6000</v>
      </c>
      <c r="AF103" s="113">
        <v>6000</v>
      </c>
      <c r="AG103" s="113">
        <v>6000</v>
      </c>
      <c r="AH103" s="113">
        <v>6000</v>
      </c>
      <c r="AI103" s="113">
        <v>6000</v>
      </c>
      <c r="AJ103" s="113">
        <v>6000</v>
      </c>
      <c r="AK103" s="113">
        <v>6000</v>
      </c>
      <c r="AL103" s="113">
        <v>6000</v>
      </c>
      <c r="AM103" s="113">
        <v>6000</v>
      </c>
      <c r="AN103" s="113"/>
      <c r="AO103" s="113"/>
      <c r="AP103" s="113"/>
      <c r="AQ103" s="113"/>
      <c r="AR103" s="113"/>
    </row>
    <row r="104" s="96" customFormat="1" customHeight="1" spans="1:44">
      <c r="A104" s="95">
        <v>100</v>
      </c>
      <c r="B104" s="106">
        <v>9</v>
      </c>
      <c r="C104" s="107" t="s">
        <v>19</v>
      </c>
      <c r="D104" s="107" t="s">
        <v>20</v>
      </c>
      <c r="E104" s="105" t="s">
        <v>441</v>
      </c>
      <c r="F104" s="105" t="s">
        <v>165</v>
      </c>
      <c r="G104" s="105"/>
      <c r="H104" s="105">
        <f>SUMIFS([1]报表!$U:$U,[1]报表!$H:$H,F:F)</f>
        <v>66141</v>
      </c>
      <c r="I104" s="105" t="s">
        <v>60</v>
      </c>
      <c r="J104" s="105"/>
      <c r="K104" s="105"/>
      <c r="L104" s="107" t="str">
        <f>L103</f>
        <v>机加</v>
      </c>
      <c r="M104" s="107" t="s">
        <v>599</v>
      </c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</row>
    <row r="105" s="96" customFormat="1" customHeight="1" spans="1:16374">
      <c r="A105" s="106">
        <v>101</v>
      </c>
      <c r="B105" s="107">
        <v>9</v>
      </c>
      <c r="C105" s="107" t="s">
        <v>19</v>
      </c>
      <c r="D105" s="105" t="s">
        <v>20</v>
      </c>
      <c r="E105" s="105" t="s">
        <v>441</v>
      </c>
      <c r="F105" s="105" t="s">
        <v>165</v>
      </c>
      <c r="G105" s="107" t="str">
        <f>_xlfn.DISPIMG("ID_8B4BF3F51D154B668EA98320C5459BC9",1)</f>
        <v>=DISPIMG("ID_8B4BF3F51D154B668EA98320C5459BC9",1)</v>
      </c>
      <c r="H105" s="105">
        <f>SUMIFS([1]报表!$U:$U,[1]报表!$H:$H,F:F)</f>
        <v>66141</v>
      </c>
      <c r="I105" s="105" t="s">
        <v>60</v>
      </c>
      <c r="J105" s="105"/>
      <c r="K105" s="107"/>
      <c r="L105" s="107" t="s">
        <v>601</v>
      </c>
      <c r="M105" s="106" t="s">
        <v>598</v>
      </c>
      <c r="N105" s="106"/>
      <c r="O105" s="106"/>
      <c r="P105" s="106"/>
      <c r="Q105" s="106"/>
      <c r="AB105" s="96">
        <v>6000</v>
      </c>
      <c r="AC105" s="96">
        <v>6000</v>
      </c>
      <c r="AD105" s="96">
        <v>6000</v>
      </c>
      <c r="AE105" s="96">
        <v>6000</v>
      </c>
      <c r="AF105" s="96">
        <v>6000</v>
      </c>
      <c r="AG105" s="96">
        <v>6000</v>
      </c>
      <c r="AH105" s="96">
        <v>6000</v>
      </c>
      <c r="AI105" s="96">
        <v>6000</v>
      </c>
      <c r="AJ105" s="96">
        <v>6000</v>
      </c>
      <c r="AK105" s="96">
        <v>6000</v>
      </c>
      <c r="AL105" s="96">
        <v>6000</v>
      </c>
      <c r="AM105" s="96">
        <v>6000</v>
      </c>
      <c r="AN105" s="96">
        <v>6000</v>
      </c>
      <c r="AO105" s="96">
        <v>6000</v>
      </c>
      <c r="AT105" s="96" t="s">
        <v>626</v>
      </c>
      <c r="XED105" s="106"/>
      <c r="XEE105" s="107"/>
      <c r="XEF105" s="107"/>
      <c r="XEG105" s="105"/>
      <c r="XEH105" s="105"/>
      <c r="XEI105" s="105"/>
      <c r="XEJ105" s="107"/>
      <c r="XEK105" s="105"/>
      <c r="XEL105" s="105"/>
      <c r="XEM105" s="105"/>
      <c r="XEN105" s="107"/>
      <c r="XEO105" s="107"/>
      <c r="XEP105" s="106"/>
      <c r="XEQ105" s="106"/>
      <c r="XER105" s="106"/>
      <c r="XES105" s="106"/>
      <c r="XET105" s="106"/>
    </row>
    <row r="106" s="96" customFormat="1" customHeight="1" spans="1:44">
      <c r="A106" s="95">
        <v>102</v>
      </c>
      <c r="B106" s="106">
        <v>9</v>
      </c>
      <c r="C106" s="107" t="s">
        <v>19</v>
      </c>
      <c r="D106" s="107" t="s">
        <v>20</v>
      </c>
      <c r="E106" s="106" t="s">
        <v>441</v>
      </c>
      <c r="F106" s="107" t="s">
        <v>165</v>
      </c>
      <c r="G106" s="107"/>
      <c r="H106" s="105">
        <f>SUMIFS([1]报表!$U:$U,[1]报表!$H:$H,F:F)</f>
        <v>66141</v>
      </c>
      <c r="I106" s="105" t="s">
        <v>60</v>
      </c>
      <c r="J106" s="105"/>
      <c r="K106" s="105"/>
      <c r="L106" s="106" t="str">
        <f>L105</f>
        <v>磨抛</v>
      </c>
      <c r="M106" s="107" t="s">
        <v>599</v>
      </c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</row>
    <row r="107" s="96" customFormat="1" customHeight="1" spans="1:44">
      <c r="A107" s="95">
        <v>103</v>
      </c>
      <c r="B107" s="106">
        <v>10</v>
      </c>
      <c r="C107" s="107" t="s">
        <v>19</v>
      </c>
      <c r="D107" s="107" t="s">
        <v>20</v>
      </c>
      <c r="E107" s="105" t="s">
        <v>441</v>
      </c>
      <c r="F107" s="109" t="s">
        <v>166</v>
      </c>
      <c r="G107" s="109"/>
      <c r="H107" s="105">
        <f>SUMIFS([1]报表!$U:$U,[1]报表!$H:$H,F:F)</f>
        <v>2608</v>
      </c>
      <c r="I107" s="105" t="s">
        <v>60</v>
      </c>
      <c r="J107" s="105"/>
      <c r="K107" s="105"/>
      <c r="L107" s="107" t="s">
        <v>597</v>
      </c>
      <c r="M107" s="107" t="s">
        <v>598</v>
      </c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 t="s">
        <v>610</v>
      </c>
      <c r="AA107" s="103"/>
      <c r="AB107" s="10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</row>
    <row r="108" s="96" customFormat="1" customHeight="1" spans="1:44">
      <c r="A108" s="95">
        <v>104</v>
      </c>
      <c r="B108" s="106">
        <v>10</v>
      </c>
      <c r="C108" s="107" t="s">
        <v>19</v>
      </c>
      <c r="D108" s="107" t="s">
        <v>20</v>
      </c>
      <c r="E108" s="113" t="s">
        <v>441</v>
      </c>
      <c r="F108" s="105" t="s">
        <v>166</v>
      </c>
      <c r="G108" s="105"/>
      <c r="H108" s="105">
        <f>SUMIFS([1]报表!$U:$U,[1]报表!$H:$H,F:F)</f>
        <v>2608</v>
      </c>
      <c r="I108" s="105" t="s">
        <v>60</v>
      </c>
      <c r="J108" s="105"/>
      <c r="K108" s="105"/>
      <c r="L108" s="107" t="str">
        <f>L107</f>
        <v>压铸</v>
      </c>
      <c r="M108" s="107" t="s">
        <v>599</v>
      </c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</row>
    <row r="109" s="96" customFormat="1" customHeight="1" spans="1:44">
      <c r="A109" s="95">
        <v>105</v>
      </c>
      <c r="B109" s="106">
        <v>10</v>
      </c>
      <c r="C109" s="107" t="s">
        <v>19</v>
      </c>
      <c r="D109" s="107" t="s">
        <v>20</v>
      </c>
      <c r="E109" s="113" t="s">
        <v>441</v>
      </c>
      <c r="F109" s="105" t="s">
        <v>166</v>
      </c>
      <c r="G109" s="105"/>
      <c r="H109" s="105">
        <f>SUMIFS([1]报表!$U:$U,[1]报表!$H:$H,F:F)</f>
        <v>2608</v>
      </c>
      <c r="I109" s="105" t="s">
        <v>60</v>
      </c>
      <c r="J109" s="105"/>
      <c r="K109" s="105"/>
      <c r="L109" s="107" t="s">
        <v>600</v>
      </c>
      <c r="M109" s="107" t="s">
        <v>598</v>
      </c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 t="s">
        <v>611</v>
      </c>
      <c r="AA109" s="103"/>
      <c r="AB109" s="10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</row>
    <row r="110" s="96" customFormat="1" customHeight="1" spans="1:44">
      <c r="A110" s="95">
        <v>106</v>
      </c>
      <c r="B110" s="106">
        <v>10</v>
      </c>
      <c r="C110" s="107" t="s">
        <v>19</v>
      </c>
      <c r="D110" s="107" t="s">
        <v>20</v>
      </c>
      <c r="E110" s="113" t="s">
        <v>441</v>
      </c>
      <c r="F110" s="105" t="s">
        <v>166</v>
      </c>
      <c r="G110" s="105"/>
      <c r="H110" s="105">
        <f>SUMIFS([1]报表!$U:$U,[1]报表!$H:$H,F:F)</f>
        <v>2608</v>
      </c>
      <c r="I110" s="105" t="s">
        <v>60</v>
      </c>
      <c r="J110" s="105"/>
      <c r="K110" s="105"/>
      <c r="L110" s="107" t="str">
        <f>L109</f>
        <v>机加</v>
      </c>
      <c r="M110" s="107" t="s">
        <v>599</v>
      </c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</row>
    <row r="111" s="96" customFormat="1" customHeight="1" spans="1:16374">
      <c r="A111" s="106">
        <v>107</v>
      </c>
      <c r="B111" s="107">
        <v>10</v>
      </c>
      <c r="C111" s="107" t="s">
        <v>19</v>
      </c>
      <c r="D111" s="105" t="s">
        <v>20</v>
      </c>
      <c r="E111" s="105" t="s">
        <v>441</v>
      </c>
      <c r="F111" s="105" t="s">
        <v>166</v>
      </c>
      <c r="G111" s="107" t="str">
        <f>_xlfn.DISPIMG("ID_3870E3B32832447ABE7A4A5D7B8D98C8",1)</f>
        <v>=DISPIMG("ID_3870E3B32832447ABE7A4A5D7B8D98C8",1)</v>
      </c>
      <c r="H111" s="105">
        <f>SUMIFS([1]报表!$U:$U,[1]报表!$H:$H,F:F)</f>
        <v>2608</v>
      </c>
      <c r="I111" s="105" t="s">
        <v>60</v>
      </c>
      <c r="J111" s="105"/>
      <c r="K111" s="107"/>
      <c r="L111" s="107" t="s">
        <v>601</v>
      </c>
      <c r="M111" s="106" t="s">
        <v>598</v>
      </c>
      <c r="N111" s="106"/>
      <c r="O111" s="106"/>
      <c r="P111" s="106"/>
      <c r="Q111" s="106"/>
      <c r="AH111" s="96" t="s">
        <v>621</v>
      </c>
      <c r="AT111" s="96" t="s">
        <v>627</v>
      </c>
      <c r="XED111" s="106"/>
      <c r="XEE111" s="107"/>
      <c r="XEF111" s="107"/>
      <c r="XEG111" s="105"/>
      <c r="XEH111" s="105"/>
      <c r="XEI111" s="105"/>
      <c r="XEJ111" s="107"/>
      <c r="XEK111" s="105"/>
      <c r="XEL111" s="105"/>
      <c r="XEM111" s="105"/>
      <c r="XEN111" s="107"/>
      <c r="XEO111" s="107"/>
      <c r="XEP111" s="106"/>
      <c r="XEQ111" s="106"/>
      <c r="XER111" s="106"/>
      <c r="XES111" s="106"/>
      <c r="XET111" s="106"/>
    </row>
    <row r="112" s="96" customFormat="1" customHeight="1" spans="1:44">
      <c r="A112" s="95">
        <v>108</v>
      </c>
      <c r="B112" s="106">
        <v>10</v>
      </c>
      <c r="C112" s="107" t="s">
        <v>19</v>
      </c>
      <c r="D112" s="107" t="s">
        <v>20</v>
      </c>
      <c r="E112" s="106" t="s">
        <v>441</v>
      </c>
      <c r="F112" s="107" t="s">
        <v>166</v>
      </c>
      <c r="G112" s="107"/>
      <c r="H112" s="105">
        <f>SUMIFS([1]报表!$U:$U,[1]报表!$H:$H,F:F)</f>
        <v>2608</v>
      </c>
      <c r="I112" s="105" t="s">
        <v>60</v>
      </c>
      <c r="J112" s="105"/>
      <c r="K112" s="105"/>
      <c r="L112" s="106" t="str">
        <f>L111</f>
        <v>磨抛</v>
      </c>
      <c r="M112" s="107" t="s">
        <v>599</v>
      </c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13"/>
      <c r="AD112" s="113"/>
      <c r="AE112" s="113"/>
      <c r="AF112" s="113"/>
      <c r="AG112" s="113"/>
      <c r="AH112" s="10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</row>
    <row r="113" s="96" customFormat="1" customHeight="1" spans="1:44">
      <c r="A113" s="95">
        <v>109</v>
      </c>
      <c r="B113" s="106">
        <v>11</v>
      </c>
      <c r="C113" s="107" t="s">
        <v>19</v>
      </c>
      <c r="D113" s="107" t="s">
        <v>20</v>
      </c>
      <c r="E113" s="105" t="s">
        <v>441</v>
      </c>
      <c r="F113" s="109" t="s">
        <v>169</v>
      </c>
      <c r="G113" s="109"/>
      <c r="H113" s="105">
        <f>SUMIFS([1]报表!$U:$U,[1]报表!$H:$H,F:F)</f>
        <v>28140</v>
      </c>
      <c r="I113" s="105" t="s">
        <v>60</v>
      </c>
      <c r="J113" s="105"/>
      <c r="K113" s="105"/>
      <c r="L113" s="107" t="s">
        <v>597</v>
      </c>
      <c r="M113" s="107" t="s">
        <v>598</v>
      </c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>
        <v>7500</v>
      </c>
      <c r="AA113" s="103">
        <v>7500</v>
      </c>
      <c r="AB113" s="103">
        <v>7500</v>
      </c>
      <c r="AC113" s="106">
        <v>7500</v>
      </c>
      <c r="AD113" s="106">
        <v>7500</v>
      </c>
      <c r="AE113" s="113" t="s">
        <v>625</v>
      </c>
      <c r="AF113" s="106"/>
      <c r="AG113" s="106"/>
      <c r="AH113" s="10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</row>
    <row r="114" s="96" customFormat="1" customHeight="1" spans="1:44">
      <c r="A114" s="95">
        <v>110</v>
      </c>
      <c r="B114" s="106">
        <v>11</v>
      </c>
      <c r="C114" s="107" t="s">
        <v>19</v>
      </c>
      <c r="D114" s="107" t="s">
        <v>20</v>
      </c>
      <c r="E114" s="113" t="s">
        <v>441</v>
      </c>
      <c r="F114" s="105" t="s">
        <v>169</v>
      </c>
      <c r="G114" s="105"/>
      <c r="H114" s="105">
        <f>SUMIFS([1]报表!$U:$U,[1]报表!$H:$H,F:F)</f>
        <v>28140</v>
      </c>
      <c r="I114" s="105" t="s">
        <v>60</v>
      </c>
      <c r="J114" s="105"/>
      <c r="K114" s="105"/>
      <c r="L114" s="107" t="str">
        <f>L113</f>
        <v>压铸</v>
      </c>
      <c r="M114" s="107" t="s">
        <v>599</v>
      </c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</row>
    <row r="115" s="96" customFormat="1" customHeight="1" spans="1:44">
      <c r="A115" s="95">
        <v>111</v>
      </c>
      <c r="B115" s="106">
        <v>11</v>
      </c>
      <c r="C115" s="107" t="s">
        <v>19</v>
      </c>
      <c r="D115" s="107" t="s">
        <v>20</v>
      </c>
      <c r="E115" s="113" t="s">
        <v>441</v>
      </c>
      <c r="F115" s="105" t="s">
        <v>169</v>
      </c>
      <c r="G115" s="105"/>
      <c r="H115" s="105">
        <f>SUMIFS([1]报表!$U:$U,[1]报表!$H:$H,F:F)</f>
        <v>28140</v>
      </c>
      <c r="I115" s="105" t="s">
        <v>60</v>
      </c>
      <c r="J115" s="105"/>
      <c r="K115" s="105"/>
      <c r="L115" s="107" t="s">
        <v>600</v>
      </c>
      <c r="M115" s="107" t="s">
        <v>598</v>
      </c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>
        <v>2500</v>
      </c>
      <c r="AA115" s="103">
        <v>2500</v>
      </c>
      <c r="AB115" s="103">
        <v>2500</v>
      </c>
      <c r="AC115" s="106">
        <v>2500</v>
      </c>
      <c r="AD115" s="106">
        <v>2500</v>
      </c>
      <c r="AE115" s="106">
        <v>2500</v>
      </c>
      <c r="AF115" s="106">
        <v>2500</v>
      </c>
      <c r="AG115" s="106">
        <v>2500</v>
      </c>
      <c r="AH115" s="103">
        <v>2500</v>
      </c>
      <c r="AI115" s="103">
        <v>2500</v>
      </c>
      <c r="AJ115" s="103">
        <v>2500</v>
      </c>
      <c r="AK115" s="103">
        <v>2500</v>
      </c>
      <c r="AL115" s="103">
        <v>2500</v>
      </c>
      <c r="AM115" s="103">
        <v>2500</v>
      </c>
      <c r="AN115" s="103">
        <v>2500</v>
      </c>
      <c r="AO115" s="103"/>
      <c r="AP115" s="113"/>
      <c r="AQ115" s="113"/>
      <c r="AR115" s="113"/>
    </row>
    <row r="116" s="96" customFormat="1" customHeight="1" spans="1:44">
      <c r="A116" s="95">
        <v>112</v>
      </c>
      <c r="B116" s="106">
        <v>11</v>
      </c>
      <c r="C116" s="107" t="s">
        <v>19</v>
      </c>
      <c r="D116" s="107" t="s">
        <v>20</v>
      </c>
      <c r="E116" s="113" t="s">
        <v>441</v>
      </c>
      <c r="F116" s="105" t="s">
        <v>169</v>
      </c>
      <c r="G116" s="105"/>
      <c r="H116" s="105">
        <f>SUMIFS([1]报表!$U:$U,[1]报表!$H:$H,F:F)</f>
        <v>28140</v>
      </c>
      <c r="I116" s="105" t="s">
        <v>60</v>
      </c>
      <c r="J116" s="105"/>
      <c r="K116" s="105"/>
      <c r="L116" s="107" t="str">
        <f>L115</f>
        <v>机加</v>
      </c>
      <c r="M116" s="107" t="s">
        <v>599</v>
      </c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</row>
    <row r="117" s="96" customFormat="1" customHeight="1" spans="1:16374">
      <c r="A117" s="106">
        <v>113</v>
      </c>
      <c r="B117" s="107">
        <v>11</v>
      </c>
      <c r="C117" s="107" t="s">
        <v>19</v>
      </c>
      <c r="D117" s="105" t="s">
        <v>20</v>
      </c>
      <c r="E117" s="105" t="s">
        <v>441</v>
      </c>
      <c r="F117" s="105" t="s">
        <v>169</v>
      </c>
      <c r="G117" s="107" t="str">
        <f>_xlfn.DISPIMG("ID_CB9FD69F5D294140BE8FF9E20CCA2F6C",1)</f>
        <v>=DISPIMG("ID_CB9FD69F5D294140BE8FF9E20CCA2F6C",1)</v>
      </c>
      <c r="H117" s="105">
        <f>SUMIFS([1]报表!$U:$U,[1]报表!$H:$H,F:F)</f>
        <v>28140</v>
      </c>
      <c r="I117" s="105" t="s">
        <v>60</v>
      </c>
      <c r="J117" s="105"/>
      <c r="K117" s="107"/>
      <c r="L117" s="107" t="s">
        <v>601</v>
      </c>
      <c r="M117" s="106" t="s">
        <v>598</v>
      </c>
      <c r="N117" s="106"/>
      <c r="O117" s="106"/>
      <c r="P117" s="106"/>
      <c r="Q117" s="106"/>
      <c r="Z117" s="96">
        <v>2000</v>
      </c>
      <c r="AA117" s="96">
        <v>2000</v>
      </c>
      <c r="AB117" s="96">
        <v>2000</v>
      </c>
      <c r="AC117" s="96">
        <v>2000</v>
      </c>
      <c r="AD117" s="96">
        <v>2000</v>
      </c>
      <c r="AE117" s="96">
        <v>2000</v>
      </c>
      <c r="AF117" s="96">
        <v>2000</v>
      </c>
      <c r="AG117" s="96">
        <v>2000</v>
      </c>
      <c r="AH117" s="96">
        <v>2000</v>
      </c>
      <c r="AI117" s="96">
        <v>2000</v>
      </c>
      <c r="AJ117" s="96">
        <v>2000</v>
      </c>
      <c r="AK117" s="96">
        <v>2000</v>
      </c>
      <c r="AL117" s="96">
        <v>2000</v>
      </c>
      <c r="AM117" s="96">
        <v>2000</v>
      </c>
      <c r="AN117" s="96">
        <v>2000</v>
      </c>
      <c r="AO117" s="96">
        <v>2000</v>
      </c>
      <c r="AP117" s="96">
        <v>2000</v>
      </c>
      <c r="AQ117" s="96">
        <v>2000</v>
      </c>
      <c r="AR117" s="96">
        <v>2000</v>
      </c>
      <c r="AT117" s="96" t="s">
        <v>628</v>
      </c>
      <c r="XED117" s="106"/>
      <c r="XEE117" s="107"/>
      <c r="XEF117" s="107"/>
      <c r="XEG117" s="105"/>
      <c r="XEH117" s="105"/>
      <c r="XEI117" s="105"/>
      <c r="XEJ117" s="107"/>
      <c r="XEK117" s="105"/>
      <c r="XEL117" s="105"/>
      <c r="XEM117" s="105"/>
      <c r="XEN117" s="107"/>
      <c r="XEO117" s="107"/>
      <c r="XEP117" s="106"/>
      <c r="XEQ117" s="106"/>
      <c r="XER117" s="106"/>
      <c r="XES117" s="106"/>
      <c r="XET117" s="106"/>
    </row>
    <row r="118" s="96" customFormat="1" customHeight="1" spans="1:44">
      <c r="A118" s="95">
        <v>114</v>
      </c>
      <c r="B118" s="106">
        <v>11</v>
      </c>
      <c r="C118" s="107" t="s">
        <v>19</v>
      </c>
      <c r="D118" s="107" t="s">
        <v>20</v>
      </c>
      <c r="E118" s="106" t="s">
        <v>441</v>
      </c>
      <c r="F118" s="107" t="s">
        <v>169</v>
      </c>
      <c r="G118" s="107"/>
      <c r="H118" s="105">
        <f>SUMIFS([1]报表!$U:$U,[1]报表!$H:$H,F:F)</f>
        <v>28140</v>
      </c>
      <c r="I118" s="105" t="s">
        <v>60</v>
      </c>
      <c r="J118" s="105"/>
      <c r="K118" s="105"/>
      <c r="L118" s="106" t="str">
        <f>L117</f>
        <v>磨抛</v>
      </c>
      <c r="M118" s="107" t="s">
        <v>599</v>
      </c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</row>
    <row r="119" s="96" customFormat="1" customHeight="1" spans="1:44">
      <c r="A119" s="95">
        <v>115</v>
      </c>
      <c r="B119" s="106">
        <v>12</v>
      </c>
      <c r="C119" s="107" t="s">
        <v>19</v>
      </c>
      <c r="D119" s="107" t="s">
        <v>20</v>
      </c>
      <c r="E119" s="105" t="s">
        <v>441</v>
      </c>
      <c r="F119" s="109" t="s">
        <v>170</v>
      </c>
      <c r="G119" s="109"/>
      <c r="H119" s="105">
        <f>SUMIFS([1]报表!$U:$U,[1]报表!$H:$H,F:F)</f>
        <v>47300</v>
      </c>
      <c r="I119" s="105" t="s">
        <v>60</v>
      </c>
      <c r="J119" s="105"/>
      <c r="K119" s="105"/>
      <c r="L119" s="107" t="s">
        <v>597</v>
      </c>
      <c r="M119" s="107" t="s">
        <v>598</v>
      </c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>
        <v>4000</v>
      </c>
      <c r="AA119" s="103">
        <v>4000</v>
      </c>
      <c r="AB119" s="103">
        <v>4000</v>
      </c>
      <c r="AC119" s="113">
        <v>4000</v>
      </c>
      <c r="AD119" s="113">
        <v>4000</v>
      </c>
      <c r="AE119" s="113">
        <v>4000</v>
      </c>
      <c r="AF119" s="113">
        <v>4000</v>
      </c>
      <c r="AG119" s="113">
        <v>4000</v>
      </c>
      <c r="AH119" s="113">
        <v>4000</v>
      </c>
      <c r="AI119" s="113">
        <v>4000</v>
      </c>
      <c r="AJ119" s="113">
        <v>4000</v>
      </c>
      <c r="AK119" s="113">
        <v>4000</v>
      </c>
      <c r="AL119" s="113"/>
      <c r="AM119" s="113"/>
      <c r="AN119" s="113"/>
      <c r="AO119" s="113"/>
      <c r="AP119" s="113"/>
      <c r="AQ119" s="113"/>
      <c r="AR119" s="113"/>
    </row>
    <row r="120" s="96" customFormat="1" customHeight="1" spans="1:44">
      <c r="A120" s="95">
        <v>116</v>
      </c>
      <c r="B120" s="106">
        <v>12</v>
      </c>
      <c r="C120" s="107" t="s">
        <v>19</v>
      </c>
      <c r="D120" s="107" t="s">
        <v>20</v>
      </c>
      <c r="E120" s="113" t="s">
        <v>441</v>
      </c>
      <c r="F120" s="105" t="s">
        <v>170</v>
      </c>
      <c r="G120" s="105"/>
      <c r="H120" s="105">
        <f>SUMIFS([1]报表!$U:$U,[1]报表!$H:$H,F:F)</f>
        <v>47300</v>
      </c>
      <c r="I120" s="105" t="s">
        <v>60</v>
      </c>
      <c r="J120" s="105"/>
      <c r="K120" s="105"/>
      <c r="L120" s="107" t="str">
        <f>L119</f>
        <v>压铸</v>
      </c>
      <c r="M120" s="107" t="s">
        <v>599</v>
      </c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</row>
    <row r="121" s="96" customFormat="1" customHeight="1" spans="1:44">
      <c r="A121" s="95">
        <v>117</v>
      </c>
      <c r="B121" s="106">
        <v>12</v>
      </c>
      <c r="C121" s="107" t="s">
        <v>19</v>
      </c>
      <c r="D121" s="107" t="s">
        <v>20</v>
      </c>
      <c r="E121" s="113" t="s">
        <v>441</v>
      </c>
      <c r="F121" s="105" t="s">
        <v>170</v>
      </c>
      <c r="G121" s="105"/>
      <c r="H121" s="105">
        <f>SUMIFS([1]报表!$U:$U,[1]报表!$H:$H,F:F)</f>
        <v>47300</v>
      </c>
      <c r="I121" s="105" t="s">
        <v>60</v>
      </c>
      <c r="J121" s="105"/>
      <c r="K121" s="105"/>
      <c r="L121" s="107" t="s">
        <v>600</v>
      </c>
      <c r="M121" s="107" t="s">
        <v>598</v>
      </c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>
        <v>2000</v>
      </c>
      <c r="AB121" s="103">
        <v>2000</v>
      </c>
      <c r="AC121" s="106">
        <v>2000</v>
      </c>
      <c r="AD121" s="106">
        <v>2000</v>
      </c>
      <c r="AE121" s="106">
        <v>2000</v>
      </c>
      <c r="AF121" s="106">
        <v>2000</v>
      </c>
      <c r="AG121" s="106">
        <v>2500</v>
      </c>
      <c r="AH121" s="103">
        <v>2500</v>
      </c>
      <c r="AI121" s="103">
        <v>2500</v>
      </c>
      <c r="AJ121" s="103">
        <v>2500</v>
      </c>
      <c r="AK121" s="103">
        <v>2500</v>
      </c>
      <c r="AL121" s="113">
        <v>3000</v>
      </c>
      <c r="AM121" s="113">
        <v>3000</v>
      </c>
      <c r="AN121" s="113">
        <v>3000</v>
      </c>
      <c r="AO121" s="113">
        <v>3000</v>
      </c>
      <c r="AP121" s="113">
        <v>3000</v>
      </c>
      <c r="AQ121" s="113">
        <v>3000</v>
      </c>
      <c r="AR121" s="113">
        <v>3000</v>
      </c>
    </row>
    <row r="122" s="96" customFormat="1" customHeight="1" spans="1:44">
      <c r="A122" s="95">
        <v>118</v>
      </c>
      <c r="B122" s="106">
        <v>12</v>
      </c>
      <c r="C122" s="107" t="s">
        <v>19</v>
      </c>
      <c r="D122" s="107" t="s">
        <v>20</v>
      </c>
      <c r="E122" s="113" t="s">
        <v>441</v>
      </c>
      <c r="F122" s="105" t="s">
        <v>170</v>
      </c>
      <c r="G122" s="105"/>
      <c r="H122" s="105">
        <f>SUMIFS([1]报表!$U:$U,[1]报表!$H:$H,F:F)</f>
        <v>47300</v>
      </c>
      <c r="I122" s="105" t="s">
        <v>60</v>
      </c>
      <c r="J122" s="105"/>
      <c r="K122" s="105"/>
      <c r="L122" s="107" t="str">
        <f>L121</f>
        <v>机加</v>
      </c>
      <c r="M122" s="107" t="s">
        <v>599</v>
      </c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</row>
    <row r="123" s="96" customFormat="1" customHeight="1" spans="1:16369">
      <c r="A123" s="107">
        <v>119</v>
      </c>
      <c r="B123" s="107">
        <v>12</v>
      </c>
      <c r="C123" s="105" t="s">
        <v>19</v>
      </c>
      <c r="D123" s="105" t="s">
        <v>20</v>
      </c>
      <c r="E123" s="105" t="s">
        <v>441</v>
      </c>
      <c r="F123" s="107" t="s">
        <v>170</v>
      </c>
      <c r="G123" s="105" t="str">
        <f>_xlfn.DISPIMG("ID_C5375A5FE9E248429F0D3411CAAF0296",1)</f>
        <v>=DISPIMG("ID_C5375A5FE9E248429F0D3411CAAF0296",1)</v>
      </c>
      <c r="H123" s="105">
        <f>SUMIFS([1]报表!$U:$U,[1]报表!$H:$H,F:F)</f>
        <v>47300</v>
      </c>
      <c r="I123" s="105" t="s">
        <v>60</v>
      </c>
      <c r="J123" s="107"/>
      <c r="K123" s="107"/>
      <c r="L123" s="106" t="s">
        <v>601</v>
      </c>
      <c r="M123" s="96" t="s">
        <v>598</v>
      </c>
      <c r="AC123" s="96">
        <v>2000</v>
      </c>
      <c r="AD123" s="96">
        <v>2000</v>
      </c>
      <c r="AE123" s="96">
        <v>2000</v>
      </c>
      <c r="AF123" s="96">
        <v>2000</v>
      </c>
      <c r="AG123" s="96">
        <v>2000</v>
      </c>
      <c r="AH123" s="96">
        <v>2000</v>
      </c>
      <c r="AI123" s="96">
        <v>2000</v>
      </c>
      <c r="AJ123" s="96">
        <v>2000</v>
      </c>
      <c r="AK123" s="96">
        <v>2000</v>
      </c>
      <c r="AL123" s="96">
        <v>2000</v>
      </c>
      <c r="AM123" s="96">
        <v>2500</v>
      </c>
      <c r="AN123" s="96">
        <v>2500</v>
      </c>
      <c r="AO123" s="96">
        <v>2500</v>
      </c>
      <c r="AP123" s="96">
        <v>2500</v>
      </c>
      <c r="AQ123" s="96">
        <v>2500</v>
      </c>
      <c r="AR123" s="96">
        <v>2500</v>
      </c>
      <c r="AT123" s="96" t="s">
        <v>629</v>
      </c>
      <c r="XDC123" s="106"/>
      <c r="XDD123" s="107"/>
      <c r="XDE123" s="107"/>
      <c r="XDF123" s="105"/>
      <c r="XDG123" s="105"/>
      <c r="XDH123" s="105"/>
      <c r="XDI123" s="107"/>
      <c r="XDJ123" s="105"/>
      <c r="XDK123" s="105"/>
      <c r="XDL123" s="105"/>
      <c r="XDM123" s="107"/>
      <c r="XDN123" s="107"/>
      <c r="XDO123" s="106"/>
      <c r="XDP123" s="106"/>
      <c r="XDQ123" s="106"/>
      <c r="XDR123" s="106"/>
      <c r="XDS123" s="106"/>
      <c r="XED123" s="107"/>
      <c r="XEE123" s="107"/>
      <c r="XEF123" s="105"/>
      <c r="XEG123" s="105"/>
      <c r="XEH123" s="105"/>
      <c r="XEI123" s="107"/>
      <c r="XEJ123" s="105"/>
      <c r="XEK123" s="105"/>
      <c r="XEL123" s="105"/>
      <c r="XEM123" s="107"/>
      <c r="XEN123" s="107"/>
      <c r="XEO123" s="106"/>
    </row>
    <row r="124" s="96" customFormat="1" customHeight="1" spans="1:44">
      <c r="A124" s="95">
        <v>120</v>
      </c>
      <c r="B124" s="106">
        <v>12</v>
      </c>
      <c r="C124" s="107" t="s">
        <v>19</v>
      </c>
      <c r="D124" s="107" t="s">
        <v>20</v>
      </c>
      <c r="E124" s="106" t="s">
        <v>441</v>
      </c>
      <c r="F124" s="107" t="s">
        <v>170</v>
      </c>
      <c r="G124" s="107"/>
      <c r="H124" s="105">
        <f>SUMIFS([1]报表!$U:$U,[1]报表!$H:$H,F:F)</f>
        <v>47300</v>
      </c>
      <c r="I124" s="105" t="s">
        <v>60</v>
      </c>
      <c r="J124" s="105"/>
      <c r="K124" s="105"/>
      <c r="L124" s="106" t="str">
        <f>L123</f>
        <v>磨抛</v>
      </c>
      <c r="M124" s="107" t="s">
        <v>599</v>
      </c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</row>
    <row r="125" s="96" customFormat="1" customHeight="1" spans="1:44">
      <c r="A125" s="95">
        <v>121</v>
      </c>
      <c r="B125" s="106">
        <v>13</v>
      </c>
      <c r="C125" s="107" t="s">
        <v>19</v>
      </c>
      <c r="D125" s="107" t="s">
        <v>20</v>
      </c>
      <c r="E125" s="105" t="s">
        <v>441</v>
      </c>
      <c r="F125" s="109" t="s">
        <v>171</v>
      </c>
      <c r="G125" s="109"/>
      <c r="H125" s="105">
        <f>SUMIFS([1]报表!$U:$U,[1]报表!$H:$H,F:F)</f>
        <v>420</v>
      </c>
      <c r="I125" s="105" t="s">
        <v>60</v>
      </c>
      <c r="J125" s="105"/>
      <c r="K125" s="105"/>
      <c r="L125" s="107" t="s">
        <v>597</v>
      </c>
      <c r="M125" s="107" t="s">
        <v>598</v>
      </c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 t="s">
        <v>630</v>
      </c>
      <c r="AA125" s="103"/>
      <c r="AB125" s="10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</row>
    <row r="126" s="96" customFormat="1" customHeight="1" spans="1:44">
      <c r="A126" s="95">
        <v>122</v>
      </c>
      <c r="B126" s="106">
        <v>13</v>
      </c>
      <c r="C126" s="107" t="s">
        <v>19</v>
      </c>
      <c r="D126" s="107" t="s">
        <v>20</v>
      </c>
      <c r="E126" s="113" t="s">
        <v>441</v>
      </c>
      <c r="F126" s="105" t="s">
        <v>171</v>
      </c>
      <c r="G126" s="105"/>
      <c r="H126" s="105">
        <f>SUMIFS([1]报表!$U:$U,[1]报表!$H:$H,F:F)</f>
        <v>420</v>
      </c>
      <c r="I126" s="105" t="s">
        <v>60</v>
      </c>
      <c r="J126" s="105"/>
      <c r="K126" s="105"/>
      <c r="L126" s="107" t="str">
        <f>L125</f>
        <v>压铸</v>
      </c>
      <c r="M126" s="107" t="s">
        <v>599</v>
      </c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</row>
    <row r="127" s="96" customFormat="1" customHeight="1" spans="1:44">
      <c r="A127" s="95">
        <v>123</v>
      </c>
      <c r="B127" s="106">
        <v>13</v>
      </c>
      <c r="C127" s="107" t="s">
        <v>19</v>
      </c>
      <c r="D127" s="107" t="s">
        <v>20</v>
      </c>
      <c r="E127" s="113" t="s">
        <v>441</v>
      </c>
      <c r="F127" s="105" t="s">
        <v>171</v>
      </c>
      <c r="G127" s="105"/>
      <c r="H127" s="105">
        <f>SUMIFS([1]报表!$U:$U,[1]报表!$H:$H,F:F)</f>
        <v>420</v>
      </c>
      <c r="I127" s="105" t="s">
        <v>60</v>
      </c>
      <c r="J127" s="105"/>
      <c r="K127" s="105"/>
      <c r="L127" s="107" t="s">
        <v>600</v>
      </c>
      <c r="M127" s="107" t="s">
        <v>598</v>
      </c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</row>
    <row r="128" s="96" customFormat="1" customHeight="1" spans="1:44">
      <c r="A128" s="95">
        <v>124</v>
      </c>
      <c r="B128" s="106">
        <v>13</v>
      </c>
      <c r="C128" s="107" t="s">
        <v>19</v>
      </c>
      <c r="D128" s="107" t="s">
        <v>20</v>
      </c>
      <c r="E128" s="105" t="s">
        <v>441</v>
      </c>
      <c r="F128" s="105" t="s">
        <v>171</v>
      </c>
      <c r="G128" s="105"/>
      <c r="H128" s="105">
        <f>SUMIFS([1]报表!$U:$U,[1]报表!$H:$H,F:F)</f>
        <v>420</v>
      </c>
      <c r="I128" s="105" t="s">
        <v>60</v>
      </c>
      <c r="J128" s="105"/>
      <c r="K128" s="105"/>
      <c r="L128" s="107" t="str">
        <f>L127</f>
        <v>机加</v>
      </c>
      <c r="M128" s="107" t="s">
        <v>599</v>
      </c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</row>
    <row r="129" s="96" customFormat="1" customHeight="1" spans="1:16374">
      <c r="A129" s="106">
        <v>125</v>
      </c>
      <c r="B129" s="107">
        <v>13</v>
      </c>
      <c r="C129" s="107" t="s">
        <v>19</v>
      </c>
      <c r="D129" s="105" t="s">
        <v>20</v>
      </c>
      <c r="E129" s="105" t="s">
        <v>441</v>
      </c>
      <c r="F129" s="105" t="s">
        <v>171</v>
      </c>
      <c r="G129" s="107" t="str">
        <f>_xlfn.DISPIMG("ID_B213A83B2D364F57BC4BB4F638F63561",1)</f>
        <v>=DISPIMG("ID_B213A83B2D364F57BC4BB4F638F63561",1)</v>
      </c>
      <c r="H129" s="105">
        <f>SUMIFS([1]报表!$U:$U,[1]报表!$H:$H,F:F)</f>
        <v>420</v>
      </c>
      <c r="I129" s="105" t="s">
        <v>60</v>
      </c>
      <c r="J129" s="105"/>
      <c r="K129" s="107"/>
      <c r="L129" s="107" t="s">
        <v>601</v>
      </c>
      <c r="M129" s="106" t="s">
        <v>598</v>
      </c>
      <c r="N129" s="106"/>
      <c r="O129" s="106"/>
      <c r="P129" s="106"/>
      <c r="Q129" s="106"/>
      <c r="AT129" s="96" t="s">
        <v>631</v>
      </c>
      <c r="XED129" s="106"/>
      <c r="XEE129" s="107"/>
      <c r="XEF129" s="107"/>
      <c r="XEG129" s="105"/>
      <c r="XEH129" s="105"/>
      <c r="XEI129" s="105"/>
      <c r="XEJ129" s="107"/>
      <c r="XEK129" s="105"/>
      <c r="XEL129" s="105"/>
      <c r="XEM129" s="105"/>
      <c r="XEN129" s="107"/>
      <c r="XEO129" s="107"/>
      <c r="XEP129" s="106"/>
      <c r="XEQ129" s="106"/>
      <c r="XER129" s="106"/>
      <c r="XES129" s="106"/>
      <c r="XET129" s="106"/>
    </row>
    <row r="130" s="96" customFormat="1" customHeight="1" spans="1:44">
      <c r="A130" s="95">
        <v>126</v>
      </c>
      <c r="B130" s="106">
        <v>13</v>
      </c>
      <c r="C130" s="107" t="s">
        <v>19</v>
      </c>
      <c r="D130" s="107" t="s">
        <v>20</v>
      </c>
      <c r="E130" s="106" t="s">
        <v>441</v>
      </c>
      <c r="F130" s="107" t="s">
        <v>171</v>
      </c>
      <c r="G130" s="107"/>
      <c r="H130" s="105">
        <f>SUMIFS([1]报表!$U:$U,[1]报表!$H:$H,F:F)</f>
        <v>420</v>
      </c>
      <c r="I130" s="105" t="s">
        <v>60</v>
      </c>
      <c r="J130" s="105"/>
      <c r="K130" s="105"/>
      <c r="L130" s="106" t="str">
        <f>L129</f>
        <v>磨抛</v>
      </c>
      <c r="M130" s="107" t="s">
        <v>599</v>
      </c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</row>
    <row r="131" s="96" customFormat="1" customHeight="1" spans="1:44">
      <c r="A131" s="95">
        <v>127</v>
      </c>
      <c r="B131" s="106">
        <v>14</v>
      </c>
      <c r="C131" s="107" t="s">
        <v>19</v>
      </c>
      <c r="D131" s="107" t="s">
        <v>20</v>
      </c>
      <c r="E131" s="105" t="s">
        <v>441</v>
      </c>
      <c r="F131" s="109" t="s">
        <v>172</v>
      </c>
      <c r="G131" s="109"/>
      <c r="H131" s="105">
        <f>SUMIFS([1]报表!$U:$U,[1]报表!$H:$H,F:F)</f>
        <v>1948</v>
      </c>
      <c r="I131" s="105" t="s">
        <v>60</v>
      </c>
      <c r="J131" s="105"/>
      <c r="K131" s="105"/>
      <c r="L131" s="107" t="s">
        <v>597</v>
      </c>
      <c r="M131" s="107" t="s">
        <v>598</v>
      </c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 t="s">
        <v>610</v>
      </c>
      <c r="AA131" s="103"/>
      <c r="AB131" s="10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</row>
    <row r="132" s="96" customFormat="1" customHeight="1" spans="1:44">
      <c r="A132" s="95">
        <v>128</v>
      </c>
      <c r="B132" s="106">
        <v>14</v>
      </c>
      <c r="C132" s="107" t="s">
        <v>19</v>
      </c>
      <c r="D132" s="107" t="s">
        <v>20</v>
      </c>
      <c r="E132" s="113" t="s">
        <v>441</v>
      </c>
      <c r="F132" s="105" t="s">
        <v>172</v>
      </c>
      <c r="G132" s="105"/>
      <c r="H132" s="105">
        <f>SUMIFS([1]报表!$U:$U,[1]报表!$H:$H,F:F)</f>
        <v>1948</v>
      </c>
      <c r="I132" s="105" t="s">
        <v>60</v>
      </c>
      <c r="J132" s="105"/>
      <c r="K132" s="105"/>
      <c r="L132" s="107" t="str">
        <f>L131</f>
        <v>压铸</v>
      </c>
      <c r="M132" s="107" t="s">
        <v>599</v>
      </c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</row>
    <row r="133" s="96" customFormat="1" customHeight="1" spans="1:44">
      <c r="A133" s="95">
        <v>129</v>
      </c>
      <c r="B133" s="106">
        <v>14</v>
      </c>
      <c r="C133" s="107" t="s">
        <v>19</v>
      </c>
      <c r="D133" s="107" t="s">
        <v>20</v>
      </c>
      <c r="E133" s="105" t="s">
        <v>441</v>
      </c>
      <c r="F133" s="105" t="s">
        <v>172</v>
      </c>
      <c r="G133" s="105"/>
      <c r="H133" s="105">
        <f>SUMIFS([1]报表!$U:$U,[1]报表!$H:$H,F:F)</f>
        <v>1948</v>
      </c>
      <c r="I133" s="105" t="s">
        <v>60</v>
      </c>
      <c r="J133" s="105"/>
      <c r="K133" s="105"/>
      <c r="L133" s="107" t="s">
        <v>600</v>
      </c>
      <c r="M133" s="107" t="s">
        <v>598</v>
      </c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13"/>
      <c r="AD133" s="113"/>
      <c r="AE133" s="113" t="s">
        <v>611</v>
      </c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</row>
    <row r="134" s="96" customFormat="1" customHeight="1" spans="1:44">
      <c r="A134" s="95">
        <v>130</v>
      </c>
      <c r="B134" s="106">
        <v>14</v>
      </c>
      <c r="C134" s="107" t="s">
        <v>19</v>
      </c>
      <c r="D134" s="107" t="s">
        <v>20</v>
      </c>
      <c r="E134" s="105" t="s">
        <v>441</v>
      </c>
      <c r="F134" s="105" t="s">
        <v>172</v>
      </c>
      <c r="G134" s="105"/>
      <c r="H134" s="105">
        <f>SUMIFS([1]报表!$U:$U,[1]报表!$H:$H,F:F)</f>
        <v>1948</v>
      </c>
      <c r="I134" s="105" t="s">
        <v>60</v>
      </c>
      <c r="J134" s="105"/>
      <c r="K134" s="105"/>
      <c r="L134" s="107" t="str">
        <f>L133</f>
        <v>机加</v>
      </c>
      <c r="M134" s="107" t="s">
        <v>599</v>
      </c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</row>
    <row r="135" s="96" customFormat="1" customHeight="1" spans="1:16369">
      <c r="A135" s="107">
        <v>131</v>
      </c>
      <c r="B135" s="107">
        <v>14</v>
      </c>
      <c r="C135" s="105" t="s">
        <v>19</v>
      </c>
      <c r="D135" s="105" t="s">
        <v>20</v>
      </c>
      <c r="E135" s="105" t="s">
        <v>441</v>
      </c>
      <c r="F135" s="107" t="s">
        <v>172</v>
      </c>
      <c r="G135" s="105" t="str">
        <f>_xlfn.DISPIMG("ID_252CCE38F9AB45EDA544ACD1192238CA",1)</f>
        <v>=DISPIMG("ID_252CCE38F9AB45EDA544ACD1192238CA",1)</v>
      </c>
      <c r="H135" s="105">
        <f>SUMIFS([1]报表!$U:$U,[1]报表!$H:$H,F:F)</f>
        <v>1948</v>
      </c>
      <c r="I135" s="105" t="s">
        <v>60</v>
      </c>
      <c r="J135" s="107"/>
      <c r="K135" s="107"/>
      <c r="L135" s="106" t="s">
        <v>601</v>
      </c>
      <c r="M135" s="96" t="s">
        <v>598</v>
      </c>
      <c r="AH135" s="96" t="s">
        <v>621</v>
      </c>
      <c r="AT135" s="96" t="s">
        <v>632</v>
      </c>
      <c r="XDC135" s="106"/>
      <c r="XDD135" s="107"/>
      <c r="XDE135" s="107"/>
      <c r="XDF135" s="105"/>
      <c r="XDG135" s="105"/>
      <c r="XDH135" s="105"/>
      <c r="XDI135" s="107"/>
      <c r="XDJ135" s="105"/>
      <c r="XDK135" s="105"/>
      <c r="XDL135" s="105"/>
      <c r="XDM135" s="107"/>
      <c r="XDN135" s="107"/>
      <c r="XDO135" s="106"/>
      <c r="XDP135" s="106"/>
      <c r="XDQ135" s="106"/>
      <c r="XDR135" s="106"/>
      <c r="XDS135" s="106"/>
      <c r="XED135" s="107"/>
      <c r="XEE135" s="107"/>
      <c r="XEF135" s="105"/>
      <c r="XEG135" s="105"/>
      <c r="XEH135" s="105"/>
      <c r="XEI135" s="107"/>
      <c r="XEJ135" s="105"/>
      <c r="XEK135" s="105"/>
      <c r="XEL135" s="105"/>
      <c r="XEM135" s="107"/>
      <c r="XEN135" s="107"/>
      <c r="XEO135" s="106"/>
    </row>
    <row r="136" s="96" customFormat="1" customHeight="1" spans="1:44">
      <c r="A136" s="95">
        <v>132</v>
      </c>
      <c r="B136" s="106">
        <v>14</v>
      </c>
      <c r="C136" s="107" t="s">
        <v>19</v>
      </c>
      <c r="D136" s="107" t="s">
        <v>20</v>
      </c>
      <c r="E136" s="106" t="s">
        <v>441</v>
      </c>
      <c r="F136" s="107" t="s">
        <v>172</v>
      </c>
      <c r="G136" s="107"/>
      <c r="H136" s="105">
        <f>SUMIFS([1]报表!$U:$U,[1]报表!$H:$H,F:F)</f>
        <v>1948</v>
      </c>
      <c r="I136" s="105" t="s">
        <v>60</v>
      </c>
      <c r="J136" s="105"/>
      <c r="K136" s="105"/>
      <c r="L136" s="106" t="str">
        <f>L135</f>
        <v>磨抛</v>
      </c>
      <c r="M136" s="107" t="s">
        <v>599</v>
      </c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</row>
    <row r="137" s="96" customFormat="1" customHeight="1" spans="1:44">
      <c r="A137" s="95">
        <v>133</v>
      </c>
      <c r="B137" s="106">
        <v>15</v>
      </c>
      <c r="C137" s="107" t="s">
        <v>19</v>
      </c>
      <c r="D137" s="107" t="s">
        <v>20</v>
      </c>
      <c r="E137" s="105" t="s">
        <v>441</v>
      </c>
      <c r="F137" s="109" t="s">
        <v>173</v>
      </c>
      <c r="G137" s="109"/>
      <c r="H137" s="105">
        <f>SUMIFS([1]报表!$U:$U,[1]报表!$H:$H,F:F)</f>
        <v>1100</v>
      </c>
      <c r="I137" s="105" t="s">
        <v>60</v>
      </c>
      <c r="J137" s="105"/>
      <c r="K137" s="105"/>
      <c r="L137" s="107" t="s">
        <v>597</v>
      </c>
      <c r="M137" s="107" t="s">
        <v>598</v>
      </c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</row>
    <row r="138" s="96" customFormat="1" customHeight="1" spans="1:44">
      <c r="A138" s="95">
        <v>134</v>
      </c>
      <c r="B138" s="106">
        <v>15</v>
      </c>
      <c r="C138" s="107" t="s">
        <v>19</v>
      </c>
      <c r="D138" s="107" t="s">
        <v>20</v>
      </c>
      <c r="E138" s="105" t="s">
        <v>441</v>
      </c>
      <c r="F138" s="105" t="s">
        <v>173</v>
      </c>
      <c r="G138" s="105"/>
      <c r="H138" s="105">
        <f>SUMIFS([1]报表!$U:$U,[1]报表!$H:$H,F:F)</f>
        <v>1100</v>
      </c>
      <c r="I138" s="105" t="s">
        <v>60</v>
      </c>
      <c r="J138" s="105"/>
      <c r="K138" s="105"/>
      <c r="L138" s="107" t="str">
        <f>L137</f>
        <v>压铸</v>
      </c>
      <c r="M138" s="107" t="s">
        <v>599</v>
      </c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</row>
    <row r="139" s="96" customFormat="1" customHeight="1" spans="1:44">
      <c r="A139" s="95">
        <v>135</v>
      </c>
      <c r="B139" s="106">
        <v>15</v>
      </c>
      <c r="C139" s="107" t="s">
        <v>19</v>
      </c>
      <c r="D139" s="107" t="s">
        <v>20</v>
      </c>
      <c r="E139" s="105" t="s">
        <v>441</v>
      </c>
      <c r="F139" s="105" t="s">
        <v>173</v>
      </c>
      <c r="G139" s="105"/>
      <c r="H139" s="105">
        <f>SUMIFS([1]报表!$U:$U,[1]报表!$H:$H,F:F)</f>
        <v>1100</v>
      </c>
      <c r="I139" s="105" t="s">
        <v>60</v>
      </c>
      <c r="J139" s="105"/>
      <c r="K139" s="105"/>
      <c r="L139" s="107" t="s">
        <v>600</v>
      </c>
      <c r="M139" s="107" t="s">
        <v>598</v>
      </c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13"/>
      <c r="AD139" s="113"/>
      <c r="AE139" s="113"/>
      <c r="AF139" s="113" t="s">
        <v>611</v>
      </c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</row>
    <row r="140" s="96" customFormat="1" customHeight="1" spans="1:44">
      <c r="A140" s="95">
        <v>136</v>
      </c>
      <c r="B140" s="106">
        <v>15</v>
      </c>
      <c r="C140" s="107" t="s">
        <v>19</v>
      </c>
      <c r="D140" s="107" t="s">
        <v>20</v>
      </c>
      <c r="E140" s="105" t="s">
        <v>441</v>
      </c>
      <c r="F140" s="105" t="s">
        <v>173</v>
      </c>
      <c r="G140" s="105"/>
      <c r="H140" s="105">
        <f>SUMIFS([1]报表!$U:$U,[1]报表!$H:$H,F:F)</f>
        <v>1100</v>
      </c>
      <c r="I140" s="105" t="s">
        <v>60</v>
      </c>
      <c r="J140" s="105"/>
      <c r="K140" s="105"/>
      <c r="L140" s="107" t="str">
        <f>L139</f>
        <v>机加</v>
      </c>
      <c r="M140" s="107" t="s">
        <v>599</v>
      </c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</row>
    <row r="141" s="96" customFormat="1" customHeight="1" spans="1:16368">
      <c r="A141" s="107">
        <v>137</v>
      </c>
      <c r="B141" s="105">
        <v>15</v>
      </c>
      <c r="C141" s="105" t="s">
        <v>19</v>
      </c>
      <c r="D141" s="105" t="s">
        <v>20</v>
      </c>
      <c r="E141" s="107" t="s">
        <v>441</v>
      </c>
      <c r="F141" s="105" t="s">
        <v>173</v>
      </c>
      <c r="G141" s="105" t="str">
        <f>_xlfn.DISPIMG("ID_C77F2B18F9C44C7DAF2C02F35E0840AB",1)</f>
        <v>=DISPIMG("ID_C77F2B18F9C44C7DAF2C02F35E0840AB",1)</v>
      </c>
      <c r="H141" s="105">
        <f>SUMIFS([1]报表!$U:$U,[1]报表!$H:$H,F:F)</f>
        <v>1100</v>
      </c>
      <c r="I141" s="107" t="s">
        <v>60</v>
      </c>
      <c r="J141" s="107"/>
      <c r="K141" s="106"/>
      <c r="L141" s="96" t="s">
        <v>601</v>
      </c>
      <c r="M141" s="96" t="s">
        <v>598</v>
      </c>
      <c r="AI141" s="96" t="s">
        <v>621</v>
      </c>
      <c r="AT141" s="96" t="s">
        <v>624</v>
      </c>
      <c r="XCB141" s="106"/>
      <c r="XCC141" s="107"/>
      <c r="XCD141" s="107"/>
      <c r="XCE141" s="105"/>
      <c r="XCF141" s="105"/>
      <c r="XCG141" s="105"/>
      <c r="XCH141" s="107"/>
      <c r="XCI141" s="105"/>
      <c r="XCJ141" s="105"/>
      <c r="XCK141" s="105"/>
      <c r="XCL141" s="107"/>
      <c r="XCM141" s="107"/>
      <c r="XCN141" s="106"/>
      <c r="XCO141" s="106"/>
      <c r="XCP141" s="106"/>
      <c r="XCQ141" s="106"/>
      <c r="XCR141" s="106"/>
      <c r="XDC141" s="107"/>
      <c r="XDD141" s="107"/>
      <c r="XDE141" s="105"/>
      <c r="XDF141" s="105"/>
      <c r="XDG141" s="105"/>
      <c r="XDH141" s="107"/>
      <c r="XDI141" s="105"/>
      <c r="XDJ141" s="105"/>
      <c r="XDK141" s="105"/>
      <c r="XDL141" s="107"/>
      <c r="XDM141" s="107"/>
      <c r="XDN141" s="106"/>
      <c r="XED141" s="107"/>
      <c r="XEE141" s="105"/>
      <c r="XEF141" s="105"/>
      <c r="XEG141" s="105"/>
      <c r="XEH141" s="107"/>
      <c r="XEI141" s="105"/>
      <c r="XEJ141" s="105"/>
      <c r="XEK141" s="105"/>
      <c r="XEL141" s="107"/>
      <c r="XEM141" s="107"/>
      <c r="XEN141" s="106"/>
    </row>
    <row r="142" s="96" customFormat="1" customHeight="1" spans="1:44">
      <c r="A142" s="95">
        <v>138</v>
      </c>
      <c r="B142" s="106">
        <v>15</v>
      </c>
      <c r="C142" s="107" t="s">
        <v>19</v>
      </c>
      <c r="D142" s="107" t="s">
        <v>20</v>
      </c>
      <c r="E142" s="106" t="s">
        <v>441</v>
      </c>
      <c r="F142" s="107" t="s">
        <v>173</v>
      </c>
      <c r="G142" s="107"/>
      <c r="H142" s="105">
        <f>SUMIFS([1]报表!$U:$U,[1]报表!$H:$H,F:F)</f>
        <v>1100</v>
      </c>
      <c r="I142" s="105" t="s">
        <v>60</v>
      </c>
      <c r="J142" s="105"/>
      <c r="K142" s="105"/>
      <c r="L142" s="106" t="str">
        <f>L141</f>
        <v>磨抛</v>
      </c>
      <c r="M142" s="107" t="s">
        <v>599</v>
      </c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</row>
    <row r="143" s="96" customFormat="1" customHeight="1" spans="1:44">
      <c r="A143" s="95">
        <v>139</v>
      </c>
      <c r="B143" s="106">
        <v>16</v>
      </c>
      <c r="C143" s="107" t="s">
        <v>19</v>
      </c>
      <c r="D143" s="107" t="s">
        <v>20</v>
      </c>
      <c r="E143" s="105" t="s">
        <v>441</v>
      </c>
      <c r="F143" s="105" t="s">
        <v>168</v>
      </c>
      <c r="G143" s="105"/>
      <c r="H143" s="105">
        <f>SUMIFS([1]报表!$U:$U,[1]报表!$H:$H,F:F)</f>
        <v>12800</v>
      </c>
      <c r="I143" s="105" t="s">
        <v>60</v>
      </c>
      <c r="J143" s="105"/>
      <c r="K143" s="105"/>
      <c r="L143" s="107" t="s">
        <v>597</v>
      </c>
      <c r="M143" s="107" t="s">
        <v>598</v>
      </c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 t="s">
        <v>633</v>
      </c>
      <c r="AA143" s="103"/>
      <c r="AB143" s="10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</row>
    <row r="144" s="96" customFormat="1" customHeight="1" spans="1:44">
      <c r="A144" s="95">
        <v>140</v>
      </c>
      <c r="B144" s="106">
        <v>16</v>
      </c>
      <c r="C144" s="107" t="s">
        <v>19</v>
      </c>
      <c r="D144" s="107" t="s">
        <v>20</v>
      </c>
      <c r="E144" s="113" t="s">
        <v>441</v>
      </c>
      <c r="F144" s="105" t="s">
        <v>168</v>
      </c>
      <c r="G144" s="105"/>
      <c r="H144" s="105">
        <f>SUMIFS([1]报表!$U:$U,[1]报表!$H:$H,F:F)</f>
        <v>12800</v>
      </c>
      <c r="I144" s="105" t="s">
        <v>60</v>
      </c>
      <c r="J144" s="105"/>
      <c r="K144" s="105"/>
      <c r="L144" s="107" t="str">
        <f>L143</f>
        <v>压铸</v>
      </c>
      <c r="M144" s="107" t="s">
        <v>599</v>
      </c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</row>
    <row r="145" s="96" customFormat="1" customHeight="1" spans="1:44">
      <c r="A145" s="95">
        <v>141</v>
      </c>
      <c r="B145" s="106">
        <v>16</v>
      </c>
      <c r="C145" s="107" t="s">
        <v>19</v>
      </c>
      <c r="D145" s="107" t="s">
        <v>20</v>
      </c>
      <c r="E145" s="113" t="s">
        <v>441</v>
      </c>
      <c r="F145" s="105" t="s">
        <v>168</v>
      </c>
      <c r="G145" s="105"/>
      <c r="H145" s="105">
        <f>SUMIFS([1]报表!$U:$U,[1]报表!$H:$H,F:F)</f>
        <v>12800</v>
      </c>
      <c r="I145" s="105" t="s">
        <v>60</v>
      </c>
      <c r="J145" s="105"/>
      <c r="K145" s="105"/>
      <c r="L145" s="107" t="s">
        <v>600</v>
      </c>
      <c r="M145" s="107" t="s">
        <v>598</v>
      </c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</row>
    <row r="146" s="96" customFormat="1" customHeight="1" spans="1:44">
      <c r="A146" s="95">
        <v>142</v>
      </c>
      <c r="B146" s="106">
        <v>16</v>
      </c>
      <c r="C146" s="107" t="s">
        <v>19</v>
      </c>
      <c r="D146" s="107" t="s">
        <v>20</v>
      </c>
      <c r="E146" s="113" t="s">
        <v>441</v>
      </c>
      <c r="F146" s="105" t="s">
        <v>168</v>
      </c>
      <c r="G146" s="105"/>
      <c r="H146" s="105">
        <f>SUMIFS([1]报表!$U:$U,[1]报表!$H:$H,F:F)</f>
        <v>12800</v>
      </c>
      <c r="I146" s="105" t="s">
        <v>60</v>
      </c>
      <c r="J146" s="105"/>
      <c r="K146" s="105"/>
      <c r="L146" s="107" t="str">
        <f>L145</f>
        <v>机加</v>
      </c>
      <c r="M146" s="107" t="s">
        <v>599</v>
      </c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</row>
    <row r="147" s="96" customFormat="1" customHeight="1" spans="1:16367">
      <c r="A147" s="105">
        <v>143</v>
      </c>
      <c r="B147" s="105">
        <v>16</v>
      </c>
      <c r="C147" s="105" t="s">
        <v>19</v>
      </c>
      <c r="D147" s="107" t="s">
        <v>20</v>
      </c>
      <c r="E147" s="105" t="s">
        <v>441</v>
      </c>
      <c r="F147" s="105" t="s">
        <v>168</v>
      </c>
      <c r="G147" s="105" t="str">
        <f>_xlfn.DISPIMG("ID_11DA71D972564F9AB94CC1159F786A81",1)</f>
        <v>=DISPIMG("ID_11DA71D972564F9AB94CC1159F786A81",1)</v>
      </c>
      <c r="H147" s="105">
        <f>SUMIFS([1]报表!$U:$U,[1]报表!$H:$H,F:F)</f>
        <v>12800</v>
      </c>
      <c r="I147" s="107" t="s">
        <v>60</v>
      </c>
      <c r="J147" s="106"/>
      <c r="L147" s="96" t="s">
        <v>601</v>
      </c>
      <c r="M147" s="96" t="s">
        <v>598</v>
      </c>
      <c r="AT147" s="96" t="s">
        <v>631</v>
      </c>
      <c r="XBA147" s="106"/>
      <c r="XBB147" s="107"/>
      <c r="XBC147" s="107"/>
      <c r="XBD147" s="105"/>
      <c r="XBE147" s="105"/>
      <c r="XBF147" s="105"/>
      <c r="XBG147" s="107"/>
      <c r="XBH147" s="105"/>
      <c r="XBI147" s="105"/>
      <c r="XBJ147" s="105"/>
      <c r="XBK147" s="107"/>
      <c r="XBL147" s="107"/>
      <c r="XBM147" s="106"/>
      <c r="XBN147" s="106"/>
      <c r="XBO147" s="106"/>
      <c r="XBP147" s="106"/>
      <c r="XBQ147" s="106"/>
      <c r="XCB147" s="107"/>
      <c r="XCC147" s="107"/>
      <c r="XCD147" s="105"/>
      <c r="XCE147" s="105"/>
      <c r="XCF147" s="105"/>
      <c r="XCG147" s="107"/>
      <c r="XCH147" s="105"/>
      <c r="XCI147" s="105"/>
      <c r="XCJ147" s="105"/>
      <c r="XCK147" s="107"/>
      <c r="XCL147" s="107"/>
      <c r="XCM147" s="106"/>
      <c r="XDC147" s="107"/>
      <c r="XDD147" s="105"/>
      <c r="XDE147" s="105"/>
      <c r="XDF147" s="105"/>
      <c r="XDG147" s="107"/>
      <c r="XDH147" s="105"/>
      <c r="XDI147" s="105"/>
      <c r="XDJ147" s="105"/>
      <c r="XDK147" s="107"/>
      <c r="XDL147" s="107"/>
      <c r="XDM147" s="106"/>
      <c r="XED147" s="105"/>
      <c r="XEE147" s="105"/>
      <c r="XEF147" s="105"/>
      <c r="XEG147" s="107"/>
      <c r="XEH147" s="105"/>
      <c r="XEI147" s="105"/>
      <c r="XEJ147" s="105"/>
      <c r="XEK147" s="107"/>
      <c r="XEL147" s="107"/>
      <c r="XEM147" s="106"/>
    </row>
    <row r="148" s="96" customFormat="1" customHeight="1" spans="1:44">
      <c r="A148" s="95">
        <v>144</v>
      </c>
      <c r="B148" s="106">
        <v>16</v>
      </c>
      <c r="C148" s="107" t="s">
        <v>19</v>
      </c>
      <c r="D148" s="107" t="s">
        <v>20</v>
      </c>
      <c r="E148" s="106" t="s">
        <v>441</v>
      </c>
      <c r="F148" s="107" t="s">
        <v>168</v>
      </c>
      <c r="G148" s="107"/>
      <c r="H148" s="105">
        <f>SUMIFS([1]报表!$U:$U,[1]报表!$H:$H,F:F)</f>
        <v>12800</v>
      </c>
      <c r="I148" s="105" t="s">
        <v>60</v>
      </c>
      <c r="J148" s="105"/>
      <c r="K148" s="105"/>
      <c r="L148" s="106" t="str">
        <f>L147</f>
        <v>磨抛</v>
      </c>
      <c r="M148" s="107" t="s">
        <v>599</v>
      </c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</row>
    <row r="149" s="96" customFormat="1" customHeight="1" spans="1:44">
      <c r="A149" s="95">
        <v>145</v>
      </c>
      <c r="B149" s="106">
        <v>17</v>
      </c>
      <c r="C149" s="107" t="s">
        <v>19</v>
      </c>
      <c r="D149" s="107" t="s">
        <v>20</v>
      </c>
      <c r="E149" s="105" t="s">
        <v>441</v>
      </c>
      <c r="F149" s="109" t="s">
        <v>247</v>
      </c>
      <c r="G149" s="109"/>
      <c r="H149" s="105">
        <f>SUMIFS([1]报表!$U:$U,[1]报表!$H:$H,F:F)</f>
        <v>0</v>
      </c>
      <c r="I149" s="105" t="s">
        <v>60</v>
      </c>
      <c r="J149" s="105"/>
      <c r="K149" s="105"/>
      <c r="L149" s="107" t="s">
        <v>597</v>
      </c>
      <c r="M149" s="107" t="s">
        <v>598</v>
      </c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</row>
    <row r="150" s="96" customFormat="1" customHeight="1" spans="1:44">
      <c r="A150" s="95">
        <v>146</v>
      </c>
      <c r="B150" s="106">
        <v>17</v>
      </c>
      <c r="C150" s="107" t="s">
        <v>19</v>
      </c>
      <c r="D150" s="107" t="s">
        <v>20</v>
      </c>
      <c r="E150" s="113" t="s">
        <v>441</v>
      </c>
      <c r="F150" s="105" t="s">
        <v>247</v>
      </c>
      <c r="G150" s="105"/>
      <c r="H150" s="105">
        <f>SUMIFS([1]报表!$U:$U,[1]报表!$H:$H,F:F)</f>
        <v>0</v>
      </c>
      <c r="I150" s="105" t="s">
        <v>60</v>
      </c>
      <c r="J150" s="105"/>
      <c r="K150" s="105"/>
      <c r="L150" s="107" t="str">
        <f>L149</f>
        <v>压铸</v>
      </c>
      <c r="M150" s="107" t="s">
        <v>599</v>
      </c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</row>
    <row r="151" s="96" customFormat="1" customHeight="1" spans="1:44">
      <c r="A151" s="95">
        <v>147</v>
      </c>
      <c r="B151" s="106">
        <v>17</v>
      </c>
      <c r="C151" s="107" t="s">
        <v>19</v>
      </c>
      <c r="D151" s="107" t="s">
        <v>20</v>
      </c>
      <c r="E151" s="113" t="s">
        <v>441</v>
      </c>
      <c r="F151" s="105" t="s">
        <v>247</v>
      </c>
      <c r="G151" s="105"/>
      <c r="H151" s="105">
        <f>SUMIFS([1]报表!$U:$U,[1]报表!$H:$H,F:F)</f>
        <v>0</v>
      </c>
      <c r="I151" s="105" t="s">
        <v>60</v>
      </c>
      <c r="J151" s="105"/>
      <c r="K151" s="105"/>
      <c r="L151" s="107" t="s">
        <v>600</v>
      </c>
      <c r="M151" s="107" t="s">
        <v>598</v>
      </c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</row>
    <row r="152" s="96" customFormat="1" customHeight="1" spans="1:44">
      <c r="A152" s="95">
        <v>148</v>
      </c>
      <c r="B152" s="106">
        <v>17</v>
      </c>
      <c r="C152" s="107" t="s">
        <v>19</v>
      </c>
      <c r="D152" s="107" t="s">
        <v>20</v>
      </c>
      <c r="E152" s="105" t="s">
        <v>441</v>
      </c>
      <c r="F152" s="105" t="s">
        <v>247</v>
      </c>
      <c r="G152" s="105"/>
      <c r="H152" s="105">
        <f>SUMIFS([1]报表!$U:$U,[1]报表!$H:$H,F:F)</f>
        <v>0</v>
      </c>
      <c r="I152" s="105" t="s">
        <v>60</v>
      </c>
      <c r="J152" s="105"/>
      <c r="K152" s="105"/>
      <c r="L152" s="107" t="str">
        <f>L151</f>
        <v>机加</v>
      </c>
      <c r="M152" s="107" t="s">
        <v>599</v>
      </c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</row>
    <row r="153" s="96" customFormat="1" customHeight="1" spans="1:16366">
      <c r="A153" s="105">
        <v>149</v>
      </c>
      <c r="B153" s="105">
        <v>17</v>
      </c>
      <c r="C153" s="107" t="s">
        <v>19</v>
      </c>
      <c r="D153" s="105" t="s">
        <v>20</v>
      </c>
      <c r="E153" s="105" t="s">
        <v>441</v>
      </c>
      <c r="F153" s="105" t="s">
        <v>247</v>
      </c>
      <c r="G153" s="107" t="str">
        <f>_xlfn.DISPIMG("ID_0A8D89A83B624A968200DC2E66FC3C80",1)</f>
        <v>=DISPIMG("ID_0A8D89A83B624A968200DC2E66FC3C80",1)</v>
      </c>
      <c r="H153" s="105">
        <f>SUMIFS([1]报表!$U:$U,[1]报表!$H:$H,F:F)</f>
        <v>0</v>
      </c>
      <c r="I153" s="106" t="s">
        <v>60</v>
      </c>
      <c r="L153" s="96" t="s">
        <v>601</v>
      </c>
      <c r="M153" s="96" t="s">
        <v>598</v>
      </c>
      <c r="WZZ153" s="106"/>
      <c r="XAA153" s="107"/>
      <c r="XAB153" s="107"/>
      <c r="XAC153" s="105"/>
      <c r="XAD153" s="105"/>
      <c r="XAE153" s="105"/>
      <c r="XAF153" s="107"/>
      <c r="XAG153" s="105"/>
      <c r="XAH153" s="105"/>
      <c r="XAI153" s="105"/>
      <c r="XAJ153" s="107"/>
      <c r="XAK153" s="107"/>
      <c r="XAL153" s="106"/>
      <c r="XAM153" s="106"/>
      <c r="XAN153" s="106"/>
      <c r="XAO153" s="106"/>
      <c r="XAP153" s="106"/>
      <c r="XBA153" s="107"/>
      <c r="XBB153" s="107"/>
      <c r="XBC153" s="105"/>
      <c r="XBD153" s="105"/>
      <c r="XBE153" s="105"/>
      <c r="XBF153" s="107"/>
      <c r="XBG153" s="105"/>
      <c r="XBH153" s="105"/>
      <c r="XBI153" s="105"/>
      <c r="XBJ153" s="107"/>
      <c r="XBK153" s="107"/>
      <c r="XBL153" s="106"/>
      <c r="XCB153" s="107"/>
      <c r="XCC153" s="105"/>
      <c r="XCD153" s="105"/>
      <c r="XCE153" s="105"/>
      <c r="XCF153" s="107"/>
      <c r="XCG153" s="105"/>
      <c r="XCH153" s="105"/>
      <c r="XCI153" s="105"/>
      <c r="XCJ153" s="107"/>
      <c r="XCK153" s="107"/>
      <c r="XCL153" s="106"/>
      <c r="XDC153" s="105"/>
      <c r="XDD153" s="105"/>
      <c r="XDE153" s="105"/>
      <c r="XDF153" s="107"/>
      <c r="XDG153" s="105"/>
      <c r="XDH153" s="105"/>
      <c r="XDI153" s="105"/>
      <c r="XDJ153" s="107"/>
      <c r="XDK153" s="107"/>
      <c r="XDL153" s="106"/>
      <c r="XED153" s="105"/>
      <c r="XEE153" s="105"/>
      <c r="XEF153" s="107"/>
      <c r="XEG153" s="105"/>
      <c r="XEH153" s="105"/>
      <c r="XEI153" s="105"/>
      <c r="XEJ153" s="107"/>
      <c r="XEK153" s="107"/>
      <c r="XEL153" s="106"/>
    </row>
    <row r="154" s="96" customFormat="1" customHeight="1" spans="1:44">
      <c r="A154" s="95">
        <v>150</v>
      </c>
      <c r="B154" s="106">
        <v>17</v>
      </c>
      <c r="C154" s="107" t="s">
        <v>19</v>
      </c>
      <c r="D154" s="107" t="s">
        <v>20</v>
      </c>
      <c r="E154" s="106" t="s">
        <v>441</v>
      </c>
      <c r="F154" s="107" t="s">
        <v>247</v>
      </c>
      <c r="G154" s="107"/>
      <c r="H154" s="105">
        <f>SUMIFS([1]报表!$U:$U,[1]报表!$H:$H,F:F)</f>
        <v>0</v>
      </c>
      <c r="I154" s="105" t="s">
        <v>60</v>
      </c>
      <c r="J154" s="105"/>
      <c r="K154" s="105"/>
      <c r="L154" s="106" t="str">
        <f>L153</f>
        <v>磨抛</v>
      </c>
      <c r="M154" s="107" t="s">
        <v>599</v>
      </c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</row>
    <row r="155" s="96" customFormat="1" customHeight="1" spans="1:44">
      <c r="A155" s="95">
        <v>151</v>
      </c>
      <c r="B155" s="106">
        <v>18</v>
      </c>
      <c r="C155" s="107" t="s">
        <v>19</v>
      </c>
      <c r="D155" s="107" t="s">
        <v>20</v>
      </c>
      <c r="E155" s="105" t="s">
        <v>441</v>
      </c>
      <c r="F155" s="109" t="s">
        <v>634</v>
      </c>
      <c r="G155" s="109"/>
      <c r="H155" s="105">
        <f>SUMIFS([1]报表!$U:$U,[1]报表!$H:$H,F:F)</f>
        <v>0</v>
      </c>
      <c r="I155" s="105" t="s">
        <v>60</v>
      </c>
      <c r="J155" s="105"/>
      <c r="K155" s="105"/>
      <c r="L155" s="107" t="s">
        <v>597</v>
      </c>
      <c r="M155" s="107" t="s">
        <v>598</v>
      </c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</row>
    <row r="156" s="96" customFormat="1" customHeight="1" spans="1:44">
      <c r="A156" s="95">
        <v>152</v>
      </c>
      <c r="B156" s="106">
        <v>18</v>
      </c>
      <c r="C156" s="107" t="s">
        <v>19</v>
      </c>
      <c r="D156" s="107" t="s">
        <v>20</v>
      </c>
      <c r="E156" s="105" t="s">
        <v>441</v>
      </c>
      <c r="F156" s="105" t="s">
        <v>634</v>
      </c>
      <c r="G156" s="105"/>
      <c r="H156" s="105">
        <f>SUMIFS([1]报表!$U:$U,[1]报表!$H:$H,F:F)</f>
        <v>0</v>
      </c>
      <c r="I156" s="105" t="s">
        <v>60</v>
      </c>
      <c r="J156" s="105"/>
      <c r="K156" s="105"/>
      <c r="L156" s="107" t="str">
        <f>L155</f>
        <v>压铸</v>
      </c>
      <c r="M156" s="107" t="s">
        <v>599</v>
      </c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</row>
    <row r="157" s="96" customFormat="1" customHeight="1" spans="1:44">
      <c r="A157" s="95">
        <v>153</v>
      </c>
      <c r="B157" s="106">
        <v>18</v>
      </c>
      <c r="C157" s="107" t="s">
        <v>19</v>
      </c>
      <c r="D157" s="107" t="s">
        <v>20</v>
      </c>
      <c r="E157" s="105" t="s">
        <v>441</v>
      </c>
      <c r="F157" s="105" t="s">
        <v>634</v>
      </c>
      <c r="G157" s="105"/>
      <c r="H157" s="105">
        <f>SUMIFS([1]报表!$U:$U,[1]报表!$H:$H,F:F)</f>
        <v>0</v>
      </c>
      <c r="I157" s="105" t="s">
        <v>60</v>
      </c>
      <c r="J157" s="105"/>
      <c r="K157" s="105"/>
      <c r="L157" s="107" t="s">
        <v>600</v>
      </c>
      <c r="M157" s="107" t="s">
        <v>598</v>
      </c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</row>
    <row r="158" s="96" customFormat="1" customHeight="1" spans="1:44">
      <c r="A158" s="95">
        <v>154</v>
      </c>
      <c r="B158" s="106">
        <v>18</v>
      </c>
      <c r="C158" s="107" t="s">
        <v>19</v>
      </c>
      <c r="D158" s="107" t="s">
        <v>20</v>
      </c>
      <c r="E158" s="105" t="s">
        <v>441</v>
      </c>
      <c r="F158" s="105" t="s">
        <v>634</v>
      </c>
      <c r="G158" s="105"/>
      <c r="H158" s="105">
        <f>SUMIFS([1]报表!$U:$U,[1]报表!$H:$H,F:F)</f>
        <v>0</v>
      </c>
      <c r="I158" s="105" t="s">
        <v>60</v>
      </c>
      <c r="J158" s="105"/>
      <c r="K158" s="105"/>
      <c r="L158" s="107" t="str">
        <f>L157</f>
        <v>机加</v>
      </c>
      <c r="M158" s="107" t="s">
        <v>599</v>
      </c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</row>
    <row r="159" s="96" customFormat="1" customHeight="1" spans="1:16365">
      <c r="A159" s="105">
        <v>155</v>
      </c>
      <c r="B159" s="107">
        <v>18</v>
      </c>
      <c r="C159" s="105" t="s">
        <v>19</v>
      </c>
      <c r="D159" s="105" t="s">
        <v>20</v>
      </c>
      <c r="E159" s="105" t="s">
        <v>441</v>
      </c>
      <c r="F159" s="107" t="s">
        <v>634</v>
      </c>
      <c r="G159" s="107" t="str">
        <f>_xlfn.DISPIMG("ID_02A1A2168C1643D89808254B24852B17",1)</f>
        <v>=DISPIMG("ID_02A1A2168C1643D89808254B24852B17",1)</v>
      </c>
      <c r="H159" s="105">
        <f>SUMIFS([1]报表!$U:$U,[1]报表!$H:$H,F:F)</f>
        <v>0</v>
      </c>
      <c r="I159" s="96" t="s">
        <v>60</v>
      </c>
      <c r="L159" s="96" t="s">
        <v>601</v>
      </c>
      <c r="M159" s="96" t="s">
        <v>598</v>
      </c>
      <c r="WYY159" s="106"/>
      <c r="WYZ159" s="107"/>
      <c r="WZA159" s="107"/>
      <c r="WZB159" s="105"/>
      <c r="WZC159" s="105"/>
      <c r="WZD159" s="105"/>
      <c r="WZE159" s="107"/>
      <c r="WZF159" s="105"/>
      <c r="WZG159" s="105"/>
      <c r="WZH159" s="105"/>
      <c r="WZI159" s="107"/>
      <c r="WZJ159" s="107"/>
      <c r="WZK159" s="106"/>
      <c r="WZL159" s="106"/>
      <c r="WZM159" s="106"/>
      <c r="WZN159" s="106"/>
      <c r="WZO159" s="106"/>
      <c r="WZZ159" s="107"/>
      <c r="XAA159" s="107"/>
      <c r="XAB159" s="105"/>
      <c r="XAC159" s="105"/>
      <c r="XAD159" s="105"/>
      <c r="XAE159" s="107"/>
      <c r="XAF159" s="105"/>
      <c r="XAG159" s="105"/>
      <c r="XAH159" s="105"/>
      <c r="XAI159" s="107"/>
      <c r="XAJ159" s="107"/>
      <c r="XAK159" s="106"/>
      <c r="XBA159" s="107"/>
      <c r="XBB159" s="105"/>
      <c r="XBC159" s="105"/>
      <c r="XBD159" s="105"/>
      <c r="XBE159" s="107"/>
      <c r="XBF159" s="105"/>
      <c r="XBG159" s="105"/>
      <c r="XBH159" s="105"/>
      <c r="XBI159" s="107"/>
      <c r="XBJ159" s="107"/>
      <c r="XBK159" s="106"/>
      <c r="XCB159" s="105"/>
      <c r="XCC159" s="105"/>
      <c r="XCD159" s="105"/>
      <c r="XCE159" s="107"/>
      <c r="XCF159" s="105"/>
      <c r="XCG159" s="105"/>
      <c r="XCH159" s="105"/>
      <c r="XCI159" s="107"/>
      <c r="XCJ159" s="107"/>
      <c r="XCK159" s="106"/>
      <c r="XDC159" s="105"/>
      <c r="XDD159" s="105"/>
      <c r="XDE159" s="107"/>
      <c r="XDF159" s="105"/>
      <c r="XDG159" s="105"/>
      <c r="XDH159" s="105"/>
      <c r="XDI159" s="107"/>
      <c r="XDJ159" s="107"/>
      <c r="XDK159" s="106"/>
      <c r="XED159" s="105"/>
      <c r="XEE159" s="107"/>
      <c r="XEF159" s="105"/>
      <c r="XEG159" s="105"/>
      <c r="XEH159" s="105"/>
      <c r="XEI159" s="107"/>
      <c r="XEJ159" s="107"/>
      <c r="XEK159" s="106"/>
    </row>
    <row r="160" s="96" customFormat="1" customHeight="1" spans="1:44">
      <c r="A160" s="95">
        <v>156</v>
      </c>
      <c r="B160" s="106">
        <v>18</v>
      </c>
      <c r="C160" s="107" t="s">
        <v>19</v>
      </c>
      <c r="D160" s="107" t="s">
        <v>20</v>
      </c>
      <c r="E160" s="106" t="s">
        <v>441</v>
      </c>
      <c r="F160" s="107" t="s">
        <v>634</v>
      </c>
      <c r="G160" s="107"/>
      <c r="H160" s="105">
        <f>SUMIFS([1]报表!$U:$U,[1]报表!$H:$H,F:F)</f>
        <v>0</v>
      </c>
      <c r="I160" s="105" t="s">
        <v>60</v>
      </c>
      <c r="J160" s="105"/>
      <c r="K160" s="105"/>
      <c r="L160" s="106" t="str">
        <f>L159</f>
        <v>磨抛</v>
      </c>
      <c r="M160" s="107" t="s">
        <v>599</v>
      </c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</row>
    <row r="161" s="96" customFormat="1" customHeight="1" spans="1:44">
      <c r="A161" s="95">
        <v>157</v>
      </c>
      <c r="B161" s="106">
        <v>19</v>
      </c>
      <c r="C161" s="107" t="s">
        <v>19</v>
      </c>
      <c r="D161" s="107" t="s">
        <v>20</v>
      </c>
      <c r="E161" s="105" t="s">
        <v>441</v>
      </c>
      <c r="F161" s="109" t="s">
        <v>346</v>
      </c>
      <c r="G161" s="109"/>
      <c r="H161" s="105">
        <f>SUMIFS([1]报表!$U:$U,[1]报表!$H:$H,F:F)</f>
        <v>0</v>
      </c>
      <c r="I161" s="105" t="s">
        <v>60</v>
      </c>
      <c r="J161" s="105"/>
      <c r="K161" s="105"/>
      <c r="L161" s="107" t="s">
        <v>597</v>
      </c>
      <c r="M161" s="107" t="s">
        <v>598</v>
      </c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</row>
    <row r="162" s="96" customFormat="1" customHeight="1" spans="1:44">
      <c r="A162" s="95">
        <v>158</v>
      </c>
      <c r="B162" s="106">
        <v>19</v>
      </c>
      <c r="C162" s="107" t="s">
        <v>19</v>
      </c>
      <c r="D162" s="107" t="s">
        <v>20</v>
      </c>
      <c r="E162" s="113" t="s">
        <v>441</v>
      </c>
      <c r="F162" s="105" t="s">
        <v>346</v>
      </c>
      <c r="G162" s="105"/>
      <c r="H162" s="105">
        <f>SUMIFS([1]报表!$U:$U,[1]报表!$H:$H,F:F)</f>
        <v>0</v>
      </c>
      <c r="I162" s="105" t="s">
        <v>60</v>
      </c>
      <c r="J162" s="105"/>
      <c r="K162" s="105"/>
      <c r="L162" s="107" t="str">
        <f>L161</f>
        <v>压铸</v>
      </c>
      <c r="M162" s="107" t="s">
        <v>599</v>
      </c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</row>
    <row r="163" s="96" customFormat="1" customHeight="1" spans="1:44">
      <c r="A163" s="95">
        <v>159</v>
      </c>
      <c r="B163" s="106">
        <v>19</v>
      </c>
      <c r="C163" s="107" t="s">
        <v>19</v>
      </c>
      <c r="D163" s="107" t="s">
        <v>20</v>
      </c>
      <c r="E163" s="113" t="s">
        <v>441</v>
      </c>
      <c r="F163" s="105" t="s">
        <v>346</v>
      </c>
      <c r="G163" s="105"/>
      <c r="H163" s="105">
        <f>SUMIFS([1]报表!$U:$U,[1]报表!$H:$H,F:F)</f>
        <v>0</v>
      </c>
      <c r="I163" s="105" t="s">
        <v>60</v>
      </c>
      <c r="J163" s="105"/>
      <c r="K163" s="105"/>
      <c r="L163" s="107" t="s">
        <v>600</v>
      </c>
      <c r="M163" s="107" t="s">
        <v>598</v>
      </c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</row>
    <row r="164" s="96" customFormat="1" customHeight="1" spans="1:44">
      <c r="A164" s="95">
        <v>160</v>
      </c>
      <c r="B164" s="106">
        <v>19</v>
      </c>
      <c r="C164" s="107" t="s">
        <v>19</v>
      </c>
      <c r="D164" s="107" t="s">
        <v>20</v>
      </c>
      <c r="E164" s="113" t="s">
        <v>441</v>
      </c>
      <c r="F164" s="105" t="s">
        <v>346</v>
      </c>
      <c r="G164" s="105"/>
      <c r="H164" s="105">
        <f>SUMIFS([1]报表!$U:$U,[1]报表!$H:$H,F:F)</f>
        <v>0</v>
      </c>
      <c r="I164" s="105" t="s">
        <v>60</v>
      </c>
      <c r="J164" s="105"/>
      <c r="K164" s="105"/>
      <c r="L164" s="107" t="str">
        <f>L163</f>
        <v>机加</v>
      </c>
      <c r="M164" s="107" t="s">
        <v>599</v>
      </c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</row>
    <row r="165" s="96" customFormat="1" customHeight="1" spans="1:16364">
      <c r="A165" s="107">
        <v>161</v>
      </c>
      <c r="B165" s="105">
        <v>19</v>
      </c>
      <c r="C165" s="105" t="s">
        <v>19</v>
      </c>
      <c r="D165" s="105" t="s">
        <v>20</v>
      </c>
      <c r="E165" s="107" t="s">
        <v>441</v>
      </c>
      <c r="F165" s="107" t="s">
        <v>346</v>
      </c>
      <c r="G165" s="106" t="str">
        <f>_xlfn.DISPIMG("ID_1DFF78785CC04C21A5B6A019901ED453",1)</f>
        <v>=DISPIMG("ID_1DFF78785CC04C21A5B6A019901ED453",1)</v>
      </c>
      <c r="H165" s="105">
        <f>SUMIFS([1]报表!$U:$U,[1]报表!$H:$H,F:F)</f>
        <v>0</v>
      </c>
      <c r="I165" s="96" t="s">
        <v>60</v>
      </c>
      <c r="L165" s="96" t="s">
        <v>601</v>
      </c>
      <c r="M165" s="96" t="s">
        <v>598</v>
      </c>
      <c r="WXX165" s="106"/>
      <c r="WXY165" s="107"/>
      <c r="WXZ165" s="107"/>
      <c r="WYA165" s="105"/>
      <c r="WYB165" s="105"/>
      <c r="WYC165" s="105"/>
      <c r="WYD165" s="107"/>
      <c r="WYE165" s="105"/>
      <c r="WYF165" s="105"/>
      <c r="WYG165" s="105"/>
      <c r="WYH165" s="107"/>
      <c r="WYI165" s="107"/>
      <c r="WYJ165" s="106"/>
      <c r="WYK165" s="106"/>
      <c r="WYL165" s="106"/>
      <c r="WYM165" s="106"/>
      <c r="WYN165" s="106"/>
      <c r="WYY165" s="107"/>
      <c r="WYZ165" s="107"/>
      <c r="WZA165" s="105"/>
      <c r="WZB165" s="105"/>
      <c r="WZC165" s="105"/>
      <c r="WZD165" s="107"/>
      <c r="WZE165" s="105"/>
      <c r="WZF165" s="105"/>
      <c r="WZG165" s="105"/>
      <c r="WZH165" s="107"/>
      <c r="WZI165" s="107"/>
      <c r="WZJ165" s="106"/>
      <c r="WZZ165" s="107"/>
      <c r="XAA165" s="105"/>
      <c r="XAB165" s="105"/>
      <c r="XAC165" s="105"/>
      <c r="XAD165" s="107"/>
      <c r="XAE165" s="105"/>
      <c r="XAF165" s="105"/>
      <c r="XAG165" s="105"/>
      <c r="XAH165" s="107"/>
      <c r="XAI165" s="107"/>
      <c r="XAJ165" s="106"/>
      <c r="XBA165" s="105"/>
      <c r="XBB165" s="105"/>
      <c r="XBC165" s="105"/>
      <c r="XBD165" s="107"/>
      <c r="XBE165" s="105"/>
      <c r="XBF165" s="105"/>
      <c r="XBG165" s="105"/>
      <c r="XBH165" s="107"/>
      <c r="XBI165" s="107"/>
      <c r="XBJ165" s="106"/>
      <c r="XCB165" s="105"/>
      <c r="XCC165" s="105"/>
      <c r="XCD165" s="107"/>
      <c r="XCE165" s="105"/>
      <c r="XCF165" s="105"/>
      <c r="XCG165" s="105"/>
      <c r="XCH165" s="107"/>
      <c r="XCI165" s="107"/>
      <c r="XCJ165" s="106"/>
      <c r="XDC165" s="105"/>
      <c r="XDD165" s="107"/>
      <c r="XDE165" s="105"/>
      <c r="XDF165" s="105"/>
      <c r="XDG165" s="105"/>
      <c r="XDH165" s="107"/>
      <c r="XDI165" s="107"/>
      <c r="XDJ165" s="106"/>
      <c r="XED165" s="107"/>
      <c r="XEE165" s="105"/>
      <c r="XEF165" s="105"/>
      <c r="XEG165" s="105"/>
      <c r="XEH165" s="107"/>
      <c r="XEI165" s="107"/>
      <c r="XEJ165" s="106"/>
    </row>
    <row r="166" s="96" customFormat="1" customHeight="1" spans="1:44">
      <c r="A166" s="95">
        <v>162</v>
      </c>
      <c r="B166" s="106">
        <v>19</v>
      </c>
      <c r="C166" s="107" t="s">
        <v>19</v>
      </c>
      <c r="D166" s="107" t="s">
        <v>20</v>
      </c>
      <c r="E166" s="106" t="s">
        <v>441</v>
      </c>
      <c r="F166" s="107" t="s">
        <v>346</v>
      </c>
      <c r="G166" s="107"/>
      <c r="H166" s="105">
        <f>SUMIFS([1]报表!$U:$U,[1]报表!$H:$H,F:F)</f>
        <v>0</v>
      </c>
      <c r="I166" s="105" t="s">
        <v>60</v>
      </c>
      <c r="J166" s="105"/>
      <c r="K166" s="105"/>
      <c r="L166" s="106" t="str">
        <f>L165</f>
        <v>磨抛</v>
      </c>
      <c r="M166" s="107" t="s">
        <v>599</v>
      </c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</row>
    <row r="167" s="96" customFormat="1" customHeight="1" spans="1:44">
      <c r="A167" s="95">
        <v>163</v>
      </c>
      <c r="B167" s="106">
        <v>20</v>
      </c>
      <c r="C167" s="107" t="s">
        <v>19</v>
      </c>
      <c r="D167" s="107" t="s">
        <v>20</v>
      </c>
      <c r="E167" s="105" t="s">
        <v>441</v>
      </c>
      <c r="F167" s="109" t="s">
        <v>250</v>
      </c>
      <c r="G167" s="109"/>
      <c r="H167" s="105">
        <f>SUMIFS([1]报表!$U:$U,[1]报表!$H:$H,F:F)</f>
        <v>950</v>
      </c>
      <c r="I167" s="105" t="s">
        <v>60</v>
      </c>
      <c r="J167" s="105"/>
      <c r="K167" s="105"/>
      <c r="L167" s="107" t="s">
        <v>597</v>
      </c>
      <c r="M167" s="107" t="s">
        <v>598</v>
      </c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</row>
    <row r="168" s="96" customFormat="1" customHeight="1" spans="1:44">
      <c r="A168" s="95">
        <v>164</v>
      </c>
      <c r="B168" s="106">
        <v>20</v>
      </c>
      <c r="C168" s="107" t="s">
        <v>19</v>
      </c>
      <c r="D168" s="107" t="s">
        <v>20</v>
      </c>
      <c r="E168" s="105" t="s">
        <v>441</v>
      </c>
      <c r="F168" s="105" t="s">
        <v>250</v>
      </c>
      <c r="G168" s="105"/>
      <c r="H168" s="105">
        <f>SUMIFS([1]报表!$U:$U,[1]报表!$H:$H,F:F)</f>
        <v>950</v>
      </c>
      <c r="I168" s="105" t="s">
        <v>60</v>
      </c>
      <c r="J168" s="105"/>
      <c r="K168" s="105"/>
      <c r="L168" s="107" t="str">
        <f>L167</f>
        <v>压铸</v>
      </c>
      <c r="M168" s="107" t="s">
        <v>599</v>
      </c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</row>
    <row r="169" s="96" customFormat="1" customHeight="1" spans="1:44">
      <c r="A169" s="95">
        <v>165</v>
      </c>
      <c r="B169" s="106">
        <v>20</v>
      </c>
      <c r="C169" s="107" t="s">
        <v>19</v>
      </c>
      <c r="D169" s="107" t="s">
        <v>20</v>
      </c>
      <c r="E169" s="105" t="s">
        <v>441</v>
      </c>
      <c r="F169" s="105" t="s">
        <v>250</v>
      </c>
      <c r="G169" s="105"/>
      <c r="H169" s="105">
        <f>SUMIFS([1]报表!$U:$U,[1]报表!$H:$H,F:F)</f>
        <v>950</v>
      </c>
      <c r="I169" s="105" t="s">
        <v>60</v>
      </c>
      <c r="J169" s="105"/>
      <c r="K169" s="105"/>
      <c r="L169" s="107" t="s">
        <v>600</v>
      </c>
      <c r="M169" s="107" t="s">
        <v>598</v>
      </c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</row>
    <row r="170" s="96" customFormat="1" customHeight="1" spans="1:44">
      <c r="A170" s="95">
        <v>166</v>
      </c>
      <c r="B170" s="106">
        <v>20</v>
      </c>
      <c r="C170" s="107" t="s">
        <v>19</v>
      </c>
      <c r="D170" s="107" t="s">
        <v>20</v>
      </c>
      <c r="E170" s="105" t="s">
        <v>441</v>
      </c>
      <c r="F170" s="105" t="s">
        <v>250</v>
      </c>
      <c r="G170" s="105"/>
      <c r="H170" s="105">
        <f>SUMIFS([1]报表!$U:$U,[1]报表!$H:$H,F:F)</f>
        <v>950</v>
      </c>
      <c r="I170" s="105" t="s">
        <v>60</v>
      </c>
      <c r="J170" s="105"/>
      <c r="K170" s="105"/>
      <c r="L170" s="107" t="str">
        <f>L169</f>
        <v>机加</v>
      </c>
      <c r="M170" s="107" t="s">
        <v>599</v>
      </c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</row>
    <row r="171" s="96" customFormat="1" customHeight="1" spans="1:16363">
      <c r="A171" s="105">
        <v>167</v>
      </c>
      <c r="B171" s="105">
        <v>20</v>
      </c>
      <c r="C171" s="105" t="s">
        <v>19</v>
      </c>
      <c r="D171" s="107" t="s">
        <v>20</v>
      </c>
      <c r="E171" s="107" t="s">
        <v>441</v>
      </c>
      <c r="F171" s="107" t="s">
        <v>250</v>
      </c>
      <c r="G171" s="96" t="str">
        <f>_xlfn.DISPIMG("ID_D3ABFED19D004BCB8681E085A56C632F",1)</f>
        <v>=DISPIMG("ID_D3ABFED19D004BCB8681E085A56C632F",1)</v>
      </c>
      <c r="H171" s="105">
        <f>SUMIFS([1]报表!$U:$U,[1]报表!$H:$H,F:F)</f>
        <v>950</v>
      </c>
      <c r="I171" s="96" t="s">
        <v>60</v>
      </c>
      <c r="L171" s="96" t="s">
        <v>601</v>
      </c>
      <c r="M171" s="96" t="s">
        <v>598</v>
      </c>
      <c r="WWW171" s="106"/>
      <c r="WWX171" s="107"/>
      <c r="WWY171" s="107"/>
      <c r="WWZ171" s="105"/>
      <c r="WXA171" s="105"/>
      <c r="WXB171" s="105"/>
      <c r="WXC171" s="107"/>
      <c r="WXD171" s="105"/>
      <c r="WXE171" s="105"/>
      <c r="WXF171" s="105"/>
      <c r="WXG171" s="107"/>
      <c r="WXH171" s="107"/>
      <c r="WXI171" s="106"/>
      <c r="WXJ171" s="106"/>
      <c r="WXK171" s="106"/>
      <c r="WXL171" s="106"/>
      <c r="WXM171" s="106"/>
      <c r="WXX171" s="107"/>
      <c r="WXY171" s="107"/>
      <c r="WXZ171" s="105"/>
      <c r="WYA171" s="105"/>
      <c r="WYB171" s="105"/>
      <c r="WYC171" s="107"/>
      <c r="WYD171" s="105"/>
      <c r="WYE171" s="105"/>
      <c r="WYF171" s="105"/>
      <c r="WYG171" s="107"/>
      <c r="WYH171" s="107"/>
      <c r="WYI171" s="106"/>
      <c r="WYY171" s="107"/>
      <c r="WYZ171" s="105"/>
      <c r="WZA171" s="105"/>
      <c r="WZB171" s="105"/>
      <c r="WZC171" s="107"/>
      <c r="WZD171" s="105"/>
      <c r="WZE171" s="105"/>
      <c r="WZF171" s="105"/>
      <c r="WZG171" s="107"/>
      <c r="WZH171" s="107"/>
      <c r="WZI171" s="106"/>
      <c r="WZZ171" s="105"/>
      <c r="XAA171" s="105"/>
      <c r="XAB171" s="105"/>
      <c r="XAC171" s="107"/>
      <c r="XAD171" s="105"/>
      <c r="XAE171" s="105"/>
      <c r="XAF171" s="105"/>
      <c r="XAG171" s="107"/>
      <c r="XAH171" s="107"/>
      <c r="XAI171" s="106"/>
      <c r="XBA171" s="105"/>
      <c r="XBB171" s="105"/>
      <c r="XBC171" s="107"/>
      <c r="XBD171" s="105"/>
      <c r="XBE171" s="105"/>
      <c r="XBF171" s="105"/>
      <c r="XBG171" s="107"/>
      <c r="XBH171" s="107"/>
      <c r="XBI171" s="106"/>
      <c r="XCB171" s="105"/>
      <c r="XCC171" s="107"/>
      <c r="XCD171" s="105"/>
      <c r="XCE171" s="105"/>
      <c r="XCF171" s="105"/>
      <c r="XCG171" s="107"/>
      <c r="XCH171" s="107"/>
      <c r="XCI171" s="106"/>
      <c r="XDC171" s="107"/>
      <c r="XDD171" s="105"/>
      <c r="XDE171" s="105"/>
      <c r="XDF171" s="105"/>
      <c r="XDG171" s="107"/>
      <c r="XDH171" s="107"/>
      <c r="XDI171" s="106"/>
      <c r="XED171" s="105"/>
      <c r="XEE171" s="105"/>
      <c r="XEF171" s="105"/>
      <c r="XEG171" s="107"/>
      <c r="XEH171" s="107"/>
      <c r="XEI171" s="106"/>
    </row>
    <row r="172" s="96" customFormat="1" customHeight="1" spans="1:44">
      <c r="A172" s="95">
        <v>168</v>
      </c>
      <c r="B172" s="106">
        <v>20</v>
      </c>
      <c r="C172" s="107" t="s">
        <v>19</v>
      </c>
      <c r="D172" s="107" t="s">
        <v>20</v>
      </c>
      <c r="E172" s="106" t="s">
        <v>441</v>
      </c>
      <c r="F172" s="107" t="s">
        <v>250</v>
      </c>
      <c r="G172" s="107"/>
      <c r="H172" s="105">
        <f>SUMIFS([1]报表!$U:$U,[1]报表!$H:$H,F:F)</f>
        <v>950</v>
      </c>
      <c r="I172" s="105" t="s">
        <v>60</v>
      </c>
      <c r="J172" s="105"/>
      <c r="K172" s="105"/>
      <c r="L172" s="106" t="str">
        <f>L171</f>
        <v>磨抛</v>
      </c>
      <c r="M172" s="107" t="s">
        <v>599</v>
      </c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13">
        <v>500</v>
      </c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</row>
    <row r="173" s="96" customFormat="1" customHeight="1" spans="1:44">
      <c r="A173" s="95">
        <v>169</v>
      </c>
      <c r="B173" s="106">
        <v>21</v>
      </c>
      <c r="C173" s="107" t="s">
        <v>19</v>
      </c>
      <c r="D173" s="107" t="s">
        <v>20</v>
      </c>
      <c r="E173" s="105" t="s">
        <v>441</v>
      </c>
      <c r="F173" s="109" t="s">
        <v>635</v>
      </c>
      <c r="G173" s="109"/>
      <c r="H173" s="105">
        <f>SUMIFS([1]报表!$U:$U,[1]报表!$H:$H,F:F)</f>
        <v>0</v>
      </c>
      <c r="I173" s="105" t="s">
        <v>60</v>
      </c>
      <c r="J173" s="105"/>
      <c r="K173" s="105"/>
      <c r="L173" s="107" t="s">
        <v>597</v>
      </c>
      <c r="M173" s="107" t="s">
        <v>598</v>
      </c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</row>
    <row r="174" s="96" customFormat="1" customHeight="1" spans="1:44">
      <c r="A174" s="95">
        <v>170</v>
      </c>
      <c r="B174" s="106">
        <v>21</v>
      </c>
      <c r="C174" s="107" t="s">
        <v>19</v>
      </c>
      <c r="D174" s="107" t="s">
        <v>20</v>
      </c>
      <c r="E174" s="105" t="s">
        <v>441</v>
      </c>
      <c r="F174" s="105" t="s">
        <v>635</v>
      </c>
      <c r="G174" s="105"/>
      <c r="H174" s="105">
        <f>SUMIFS([1]报表!$U:$U,[1]报表!$H:$H,F:F)</f>
        <v>0</v>
      </c>
      <c r="I174" s="105" t="s">
        <v>60</v>
      </c>
      <c r="J174" s="105"/>
      <c r="K174" s="105"/>
      <c r="L174" s="107" t="str">
        <f>L173</f>
        <v>压铸</v>
      </c>
      <c r="M174" s="107" t="s">
        <v>599</v>
      </c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</row>
    <row r="175" s="96" customFormat="1" customHeight="1" spans="1:44">
      <c r="A175" s="95">
        <v>171</v>
      </c>
      <c r="B175" s="106">
        <v>21</v>
      </c>
      <c r="C175" s="107" t="s">
        <v>19</v>
      </c>
      <c r="D175" s="107" t="s">
        <v>20</v>
      </c>
      <c r="E175" s="105" t="s">
        <v>441</v>
      </c>
      <c r="F175" s="105" t="s">
        <v>635</v>
      </c>
      <c r="G175" s="105"/>
      <c r="H175" s="105">
        <f>SUMIFS([1]报表!$U:$U,[1]报表!$H:$H,F:F)</f>
        <v>0</v>
      </c>
      <c r="I175" s="105" t="s">
        <v>60</v>
      </c>
      <c r="J175" s="105"/>
      <c r="K175" s="105"/>
      <c r="L175" s="107" t="s">
        <v>600</v>
      </c>
      <c r="M175" s="107" t="s">
        <v>598</v>
      </c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</row>
    <row r="176" s="96" customFormat="1" customHeight="1" spans="1:44">
      <c r="A176" s="95">
        <v>172</v>
      </c>
      <c r="B176" s="106">
        <v>21</v>
      </c>
      <c r="C176" s="107" t="s">
        <v>19</v>
      </c>
      <c r="D176" s="107" t="s">
        <v>20</v>
      </c>
      <c r="E176" s="105" t="s">
        <v>441</v>
      </c>
      <c r="F176" s="105" t="s">
        <v>635</v>
      </c>
      <c r="G176" s="105"/>
      <c r="H176" s="105">
        <f>SUMIFS([1]报表!$U:$U,[1]报表!$H:$H,F:F)</f>
        <v>0</v>
      </c>
      <c r="I176" s="105" t="s">
        <v>60</v>
      </c>
      <c r="J176" s="105"/>
      <c r="K176" s="105"/>
      <c r="L176" s="107" t="str">
        <f>L175</f>
        <v>机加</v>
      </c>
      <c r="M176" s="107" t="s">
        <v>599</v>
      </c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</row>
    <row r="177" s="96" customFormat="1" customHeight="1" spans="1:16362">
      <c r="A177" s="105">
        <v>173</v>
      </c>
      <c r="B177" s="105">
        <v>21</v>
      </c>
      <c r="C177" s="107" t="s">
        <v>19</v>
      </c>
      <c r="D177" s="107" t="s">
        <v>20</v>
      </c>
      <c r="E177" s="106" t="s">
        <v>441</v>
      </c>
      <c r="F177" s="97" t="s">
        <v>635</v>
      </c>
      <c r="G177" s="96" t="str">
        <f>_xlfn.DISPIMG("ID_A80FFD4DF49D4539977DCE8917DB21F5",1)</f>
        <v>=DISPIMG("ID_A80FFD4DF49D4539977DCE8917DB21F5",1)</v>
      </c>
      <c r="H177" s="105">
        <f>SUMIFS([1]报表!$U:$U,[1]报表!$H:$H,F:F)</f>
        <v>0</v>
      </c>
      <c r="I177" s="96" t="s">
        <v>60</v>
      </c>
      <c r="L177" s="96" t="s">
        <v>601</v>
      </c>
      <c r="M177" s="96" t="s">
        <v>598</v>
      </c>
      <c r="WVV177" s="106"/>
      <c r="WVW177" s="107"/>
      <c r="WVX177" s="107"/>
      <c r="WVY177" s="105"/>
      <c r="WVZ177" s="105"/>
      <c r="WWA177" s="105"/>
      <c r="WWB177" s="107"/>
      <c r="WWC177" s="105"/>
      <c r="WWD177" s="105"/>
      <c r="WWE177" s="105"/>
      <c r="WWF177" s="107"/>
      <c r="WWG177" s="107"/>
      <c r="WWH177" s="106"/>
      <c r="WWI177" s="106"/>
      <c r="WWJ177" s="106"/>
      <c r="WWK177" s="106"/>
      <c r="WWL177" s="106"/>
      <c r="WWW177" s="107"/>
      <c r="WWX177" s="107"/>
      <c r="WWY177" s="105"/>
      <c r="WWZ177" s="105"/>
      <c r="WXA177" s="105"/>
      <c r="WXB177" s="107"/>
      <c r="WXC177" s="105"/>
      <c r="WXD177" s="105"/>
      <c r="WXE177" s="105"/>
      <c r="WXF177" s="107"/>
      <c r="WXG177" s="107"/>
      <c r="WXH177" s="106"/>
      <c r="WXX177" s="107"/>
      <c r="WXY177" s="105"/>
      <c r="WXZ177" s="105"/>
      <c r="WYA177" s="105"/>
      <c r="WYB177" s="107"/>
      <c r="WYC177" s="105"/>
      <c r="WYD177" s="105"/>
      <c r="WYE177" s="105"/>
      <c r="WYF177" s="107"/>
      <c r="WYG177" s="107"/>
      <c r="WYH177" s="106"/>
      <c r="WYY177" s="105"/>
      <c r="WYZ177" s="105"/>
      <c r="WZA177" s="105"/>
      <c r="WZB177" s="107"/>
      <c r="WZC177" s="105"/>
      <c r="WZD177" s="105"/>
      <c r="WZE177" s="105"/>
      <c r="WZF177" s="107"/>
      <c r="WZG177" s="107"/>
      <c r="WZH177" s="106"/>
      <c r="WZZ177" s="105"/>
      <c r="XAA177" s="105"/>
      <c r="XAB177" s="107"/>
      <c r="XAC177" s="105"/>
      <c r="XAD177" s="105"/>
      <c r="XAE177" s="105"/>
      <c r="XAF177" s="107"/>
      <c r="XAG177" s="107"/>
      <c r="XAH177" s="106"/>
      <c r="XBA177" s="105"/>
      <c r="XBB177" s="107"/>
      <c r="XBC177" s="105"/>
      <c r="XBD177" s="105"/>
      <c r="XBE177" s="105"/>
      <c r="XBF177" s="107"/>
      <c r="XBG177" s="107"/>
      <c r="XBH177" s="106"/>
      <c r="XCB177" s="107"/>
      <c r="XCC177" s="105"/>
      <c r="XCD177" s="105"/>
      <c r="XCE177" s="105"/>
      <c r="XCF177" s="107"/>
      <c r="XCG177" s="107"/>
      <c r="XCH177" s="106"/>
      <c r="XDC177" s="105"/>
      <c r="XDD177" s="105"/>
      <c r="XDE177" s="105"/>
      <c r="XDF177" s="107"/>
      <c r="XDG177" s="107"/>
      <c r="XDH177" s="106"/>
      <c r="XED177" s="105"/>
      <c r="XEE177" s="105"/>
      <c r="XEF177" s="107"/>
      <c r="XEG177" s="107"/>
      <c r="XEH177" s="106"/>
    </row>
    <row r="178" s="96" customFormat="1" customHeight="1" spans="1:44">
      <c r="A178" s="95">
        <v>174</v>
      </c>
      <c r="B178" s="106">
        <v>21</v>
      </c>
      <c r="C178" s="107" t="s">
        <v>19</v>
      </c>
      <c r="D178" s="107" t="s">
        <v>20</v>
      </c>
      <c r="E178" s="106" t="s">
        <v>441</v>
      </c>
      <c r="F178" s="107" t="s">
        <v>635</v>
      </c>
      <c r="G178" s="107"/>
      <c r="H178" s="105">
        <f>SUMIFS([1]报表!$U:$U,[1]报表!$H:$H,F:F)</f>
        <v>0</v>
      </c>
      <c r="I178" s="105" t="s">
        <v>60</v>
      </c>
      <c r="J178" s="105"/>
      <c r="K178" s="105"/>
      <c r="L178" s="106" t="str">
        <f>L177</f>
        <v>磨抛</v>
      </c>
      <c r="M178" s="107" t="s">
        <v>599</v>
      </c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</row>
    <row r="179" s="95" customFormat="1" customHeight="1" spans="1:44">
      <c r="A179" s="95">
        <v>175</v>
      </c>
      <c r="B179" s="103">
        <v>1</v>
      </c>
      <c r="C179" s="104" t="s">
        <v>22</v>
      </c>
      <c r="D179" s="104" t="s">
        <v>20</v>
      </c>
      <c r="E179" s="104" t="s">
        <v>414</v>
      </c>
      <c r="F179" s="107" t="s">
        <v>99</v>
      </c>
      <c r="G179" s="104"/>
      <c r="H179" s="105">
        <f>SUMIFS([1]报表!$U:$U,[1]报表!$H:$H,F:F)</f>
        <v>14826</v>
      </c>
      <c r="I179" s="105" t="s">
        <v>60</v>
      </c>
      <c r="J179" s="105"/>
      <c r="K179" s="105"/>
      <c r="L179" s="104" t="s">
        <v>597</v>
      </c>
      <c r="M179" s="104" t="s">
        <v>598</v>
      </c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 t="s">
        <v>636</v>
      </c>
      <c r="AA179" s="103"/>
      <c r="AB179" s="103"/>
      <c r="AC179" s="103"/>
      <c r="AD179" s="103">
        <v>5500</v>
      </c>
      <c r="AE179" s="103">
        <v>5500</v>
      </c>
      <c r="AF179" s="103">
        <v>5500</v>
      </c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13"/>
    </row>
    <row r="180" s="95" customFormat="1" customHeight="1" spans="1:44">
      <c r="A180" s="95">
        <v>176</v>
      </c>
      <c r="B180" s="103">
        <v>1</v>
      </c>
      <c r="C180" s="104" t="s">
        <v>22</v>
      </c>
      <c r="D180" s="104" t="s">
        <v>20</v>
      </c>
      <c r="E180" s="115" t="s">
        <v>414</v>
      </c>
      <c r="F180" s="109" t="s">
        <v>99</v>
      </c>
      <c r="G180" s="116"/>
      <c r="H180" s="105">
        <f>SUMIFS([1]报表!$U:$U,[1]报表!$H:$H,F:F)</f>
        <v>14826</v>
      </c>
      <c r="I180" s="105" t="s">
        <v>60</v>
      </c>
      <c r="J180" s="105"/>
      <c r="K180" s="105"/>
      <c r="L180" s="104" t="str">
        <f>L179</f>
        <v>压铸</v>
      </c>
      <c r="M180" s="104" t="s">
        <v>599</v>
      </c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13"/>
    </row>
    <row r="181" s="95" customFormat="1" customHeight="1" spans="1:44">
      <c r="A181" s="95">
        <v>177</v>
      </c>
      <c r="B181" s="103">
        <v>1</v>
      </c>
      <c r="C181" s="104" t="s">
        <v>22</v>
      </c>
      <c r="D181" s="104" t="s">
        <v>20</v>
      </c>
      <c r="E181" s="115" t="s">
        <v>414</v>
      </c>
      <c r="F181" s="109" t="s">
        <v>99</v>
      </c>
      <c r="G181" s="116"/>
      <c r="H181" s="105">
        <f>SUMIFS([1]报表!$U:$U,[1]报表!$H:$H,F:F)</f>
        <v>14826</v>
      </c>
      <c r="I181" s="105" t="s">
        <v>60</v>
      </c>
      <c r="J181" s="105"/>
      <c r="K181" s="105"/>
      <c r="L181" s="104" t="s">
        <v>600</v>
      </c>
      <c r="M181" s="104" t="s">
        <v>598</v>
      </c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>
        <v>1500</v>
      </c>
      <c r="AB181" s="103">
        <v>1500</v>
      </c>
      <c r="AC181" s="103">
        <v>3000</v>
      </c>
      <c r="AD181" s="103">
        <v>3000</v>
      </c>
      <c r="AE181" s="103">
        <v>3000</v>
      </c>
      <c r="AF181" s="103">
        <v>3000</v>
      </c>
      <c r="AG181" s="103">
        <v>3000</v>
      </c>
      <c r="AH181" s="103">
        <v>3000</v>
      </c>
      <c r="AI181" s="103">
        <v>3000</v>
      </c>
      <c r="AJ181" s="103">
        <v>3000</v>
      </c>
      <c r="AK181" s="103"/>
      <c r="AL181" s="103"/>
      <c r="AM181" s="103"/>
      <c r="AN181" s="103"/>
      <c r="AO181" s="103"/>
      <c r="AP181" s="103"/>
      <c r="AQ181" s="103"/>
      <c r="AR181" s="113"/>
    </row>
    <row r="182" s="95" customFormat="1" customHeight="1" spans="1:44">
      <c r="A182" s="95">
        <v>178</v>
      </c>
      <c r="B182" s="103">
        <v>1</v>
      </c>
      <c r="C182" s="104" t="s">
        <v>22</v>
      </c>
      <c r="D182" s="104" t="s">
        <v>20</v>
      </c>
      <c r="E182" s="115" t="s">
        <v>414</v>
      </c>
      <c r="F182" s="109" t="s">
        <v>99</v>
      </c>
      <c r="G182" s="116"/>
      <c r="H182" s="105">
        <f>SUMIFS([1]报表!$U:$U,[1]报表!$H:$H,F:F)</f>
        <v>14826</v>
      </c>
      <c r="I182" s="105" t="s">
        <v>60</v>
      </c>
      <c r="J182" s="105"/>
      <c r="K182" s="105"/>
      <c r="L182" s="104" t="str">
        <f>L181</f>
        <v>机加</v>
      </c>
      <c r="M182" s="104" t="s">
        <v>599</v>
      </c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13"/>
    </row>
    <row r="183" s="96" customFormat="1" customHeight="1" spans="1:16361">
      <c r="A183" s="105">
        <v>179</v>
      </c>
      <c r="B183" s="107">
        <v>1</v>
      </c>
      <c r="C183" s="107" t="s">
        <v>22</v>
      </c>
      <c r="D183" s="106" t="s">
        <v>20</v>
      </c>
      <c r="E183" s="96" t="s">
        <v>414</v>
      </c>
      <c r="F183" s="97" t="s">
        <v>99</v>
      </c>
      <c r="G183" s="117" t="str">
        <f>_xlfn.DISPIMG("ID_85D0AB9B8E154F2F9686EE536C82577E",1)</f>
        <v>=DISPIMG("ID_85D0AB9B8E154F2F9686EE536C82577E",1)</v>
      </c>
      <c r="H183" s="105">
        <f>SUMIFS([1]报表!$U:$U,[1]报表!$H:$H,F:F)</f>
        <v>14826</v>
      </c>
      <c r="I183" s="96" t="s">
        <v>60</v>
      </c>
      <c r="L183" s="96" t="s">
        <v>601</v>
      </c>
      <c r="M183" s="96" t="s">
        <v>598</v>
      </c>
      <c r="AB183" s="96">
        <v>1500</v>
      </c>
      <c r="AC183" s="96">
        <v>1500</v>
      </c>
      <c r="AD183" s="96">
        <v>3000</v>
      </c>
      <c r="AE183" s="96">
        <v>3000</v>
      </c>
      <c r="AF183" s="96">
        <v>3000</v>
      </c>
      <c r="AG183" s="96">
        <v>3000</v>
      </c>
      <c r="AH183" s="96">
        <v>3000</v>
      </c>
      <c r="AI183" s="96">
        <v>3000</v>
      </c>
      <c r="AJ183" s="96">
        <v>3000</v>
      </c>
      <c r="AK183" s="96">
        <v>3000</v>
      </c>
      <c r="WUU183" s="106"/>
      <c r="WUV183" s="107"/>
      <c r="WUW183" s="107"/>
      <c r="WUX183" s="105"/>
      <c r="WUY183" s="105"/>
      <c r="WUZ183" s="105"/>
      <c r="WVA183" s="107"/>
      <c r="WVB183" s="105"/>
      <c r="WVC183" s="105"/>
      <c r="WVD183" s="105"/>
      <c r="WVE183" s="107"/>
      <c r="WVF183" s="107"/>
      <c r="WVG183" s="106"/>
      <c r="WVH183" s="106"/>
      <c r="WVI183" s="106"/>
      <c r="WVJ183" s="106"/>
      <c r="WVK183" s="106"/>
      <c r="WVV183" s="107"/>
      <c r="WVW183" s="107"/>
      <c r="WVX183" s="105"/>
      <c r="WVY183" s="105"/>
      <c r="WVZ183" s="105"/>
      <c r="WWA183" s="107"/>
      <c r="WWB183" s="105"/>
      <c r="WWC183" s="105"/>
      <c r="WWD183" s="105"/>
      <c r="WWE183" s="107"/>
      <c r="WWF183" s="107"/>
      <c r="WWG183" s="106"/>
      <c r="WWW183" s="107"/>
      <c r="WWX183" s="105"/>
      <c r="WWY183" s="105"/>
      <c r="WWZ183" s="105"/>
      <c r="WXA183" s="107"/>
      <c r="WXB183" s="105"/>
      <c r="WXC183" s="105"/>
      <c r="WXD183" s="105"/>
      <c r="WXE183" s="107"/>
      <c r="WXF183" s="107"/>
      <c r="WXG183" s="106"/>
      <c r="WXX183" s="105"/>
      <c r="WXY183" s="105"/>
      <c r="WXZ183" s="105"/>
      <c r="WYA183" s="107"/>
      <c r="WYB183" s="105"/>
      <c r="WYC183" s="105"/>
      <c r="WYD183" s="105"/>
      <c r="WYE183" s="107"/>
      <c r="WYF183" s="107"/>
      <c r="WYG183" s="106"/>
      <c r="WYY183" s="105"/>
      <c r="WYZ183" s="105"/>
      <c r="WZA183" s="107"/>
      <c r="WZB183" s="105"/>
      <c r="WZC183" s="105"/>
      <c r="WZD183" s="105"/>
      <c r="WZE183" s="107"/>
      <c r="WZF183" s="107"/>
      <c r="WZG183" s="106"/>
      <c r="WZZ183" s="105"/>
      <c r="XAA183" s="107"/>
      <c r="XAB183" s="105"/>
      <c r="XAC183" s="105"/>
      <c r="XAD183" s="105"/>
      <c r="XAE183" s="107"/>
      <c r="XAF183" s="107"/>
      <c r="XAG183" s="106"/>
      <c r="XBA183" s="107"/>
      <c r="XBB183" s="105"/>
      <c r="XBC183" s="105"/>
      <c r="XBD183" s="105"/>
      <c r="XBE183" s="107"/>
      <c r="XBF183" s="107"/>
      <c r="XBG183" s="106"/>
      <c r="XCB183" s="105"/>
      <c r="XCC183" s="105"/>
      <c r="XCD183" s="105"/>
      <c r="XCE183" s="107"/>
      <c r="XCF183" s="107"/>
      <c r="XCG183" s="106"/>
      <c r="XDC183" s="105"/>
      <c r="XDD183" s="105"/>
      <c r="XDE183" s="107"/>
      <c r="XDF183" s="107"/>
      <c r="XDG183" s="106"/>
      <c r="XED183" s="105"/>
      <c r="XEE183" s="107"/>
      <c r="XEF183" s="107"/>
      <c r="XEG183" s="106"/>
    </row>
    <row r="184" s="95" customFormat="1" customHeight="1" spans="1:44">
      <c r="A184" s="95">
        <v>180</v>
      </c>
      <c r="B184" s="103">
        <v>1</v>
      </c>
      <c r="C184" s="104" t="s">
        <v>22</v>
      </c>
      <c r="D184" s="104" t="s">
        <v>20</v>
      </c>
      <c r="E184" s="103" t="s">
        <v>414</v>
      </c>
      <c r="F184" s="106" t="s">
        <v>99</v>
      </c>
      <c r="G184" s="103"/>
      <c r="H184" s="105">
        <f>SUMIFS([1]报表!$U:$U,[1]报表!$H:$H,F:F)</f>
        <v>14826</v>
      </c>
      <c r="I184" s="105" t="s">
        <v>60</v>
      </c>
      <c r="J184" s="105"/>
      <c r="K184" s="105"/>
      <c r="L184" s="103" t="str">
        <f>L183</f>
        <v>磨抛</v>
      </c>
      <c r="M184" s="104" t="s">
        <v>599</v>
      </c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13"/>
    </row>
    <row r="185" s="96" customFormat="1" customHeight="1" spans="1:44">
      <c r="A185" s="95">
        <v>181</v>
      </c>
      <c r="B185" s="103">
        <v>2</v>
      </c>
      <c r="C185" s="104" t="s">
        <v>22</v>
      </c>
      <c r="D185" s="104" t="s">
        <v>20</v>
      </c>
      <c r="E185" s="104" t="s">
        <v>414</v>
      </c>
      <c r="F185" s="107" t="s">
        <v>100</v>
      </c>
      <c r="G185" s="104"/>
      <c r="H185" s="105">
        <f>SUMIFS([1]报表!$U:$U,[1]报表!$H:$H,F:F)</f>
        <v>10800</v>
      </c>
      <c r="I185" s="105" t="s">
        <v>60</v>
      </c>
      <c r="J185" s="105"/>
      <c r="K185" s="105"/>
      <c r="L185" s="104" t="s">
        <v>597</v>
      </c>
      <c r="M185" s="104" t="s">
        <v>598</v>
      </c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>
        <v>3000</v>
      </c>
      <c r="AB185" s="103">
        <v>3000</v>
      </c>
      <c r="AC185" s="103">
        <v>3000</v>
      </c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13"/>
    </row>
    <row r="186" s="96" customFormat="1" customHeight="1" spans="1:44">
      <c r="A186" s="95">
        <v>182</v>
      </c>
      <c r="B186" s="103">
        <v>2</v>
      </c>
      <c r="C186" s="104" t="s">
        <v>22</v>
      </c>
      <c r="D186" s="104" t="s">
        <v>20</v>
      </c>
      <c r="E186" s="115" t="s">
        <v>414</v>
      </c>
      <c r="F186" s="109" t="s">
        <v>100</v>
      </c>
      <c r="G186" s="116"/>
      <c r="H186" s="105">
        <f>SUMIFS([1]报表!$U:$U,[1]报表!$H:$H,F:F)</f>
        <v>10800</v>
      </c>
      <c r="I186" s="105" t="s">
        <v>60</v>
      </c>
      <c r="J186" s="105"/>
      <c r="K186" s="105"/>
      <c r="L186" s="104" t="str">
        <f>L185</f>
        <v>压铸</v>
      </c>
      <c r="M186" s="104" t="s">
        <v>599</v>
      </c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13"/>
    </row>
    <row r="187" s="96" customFormat="1" customHeight="1" spans="1:44">
      <c r="A187" s="95">
        <v>183</v>
      </c>
      <c r="B187" s="103">
        <v>2</v>
      </c>
      <c r="C187" s="104" t="s">
        <v>22</v>
      </c>
      <c r="D187" s="104" t="s">
        <v>20</v>
      </c>
      <c r="E187" s="115" t="s">
        <v>414</v>
      </c>
      <c r="F187" s="109" t="s">
        <v>100</v>
      </c>
      <c r="G187" s="116"/>
      <c r="H187" s="105">
        <f>SUMIFS([1]报表!$U:$U,[1]报表!$H:$H,F:F)</f>
        <v>10800</v>
      </c>
      <c r="I187" s="105" t="s">
        <v>60</v>
      </c>
      <c r="J187" s="105"/>
      <c r="K187" s="105"/>
      <c r="L187" s="104" t="s">
        <v>600</v>
      </c>
      <c r="M187" s="104" t="s">
        <v>598</v>
      </c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>
        <v>1500</v>
      </c>
      <c r="AF187" s="103">
        <v>3000</v>
      </c>
      <c r="AG187" s="103">
        <v>3000</v>
      </c>
      <c r="AH187" s="103">
        <v>3000</v>
      </c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13"/>
    </row>
    <row r="188" s="96" customFormat="1" customHeight="1" spans="1:44">
      <c r="A188" s="95">
        <v>184</v>
      </c>
      <c r="B188" s="103">
        <v>2</v>
      </c>
      <c r="C188" s="104" t="s">
        <v>22</v>
      </c>
      <c r="D188" s="104" t="s">
        <v>20</v>
      </c>
      <c r="E188" s="115" t="s">
        <v>414</v>
      </c>
      <c r="F188" s="109" t="s">
        <v>100</v>
      </c>
      <c r="G188" s="116"/>
      <c r="H188" s="105">
        <f>SUMIFS([1]报表!$U:$U,[1]报表!$H:$H,F:F)</f>
        <v>10800</v>
      </c>
      <c r="I188" s="105" t="s">
        <v>60</v>
      </c>
      <c r="J188" s="105"/>
      <c r="K188" s="105"/>
      <c r="L188" s="104" t="str">
        <f>L187</f>
        <v>机加</v>
      </c>
      <c r="M188" s="104" t="s">
        <v>599</v>
      </c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13"/>
    </row>
    <row r="189" s="96" customFormat="1" customHeight="1" spans="1:16360">
      <c r="A189" s="107">
        <v>185</v>
      </c>
      <c r="B189" s="107">
        <v>2</v>
      </c>
      <c r="C189" s="106" t="s">
        <v>22</v>
      </c>
      <c r="D189" s="96" t="s">
        <v>20</v>
      </c>
      <c r="E189" s="96" t="s">
        <v>414</v>
      </c>
      <c r="F189" s="97" t="s">
        <v>100</v>
      </c>
      <c r="G189" s="96" t="str">
        <f>_xlfn.DISPIMG("ID_56D439D1833E42FFAFAC39DCBED0BBAA",1)</f>
        <v>=DISPIMG("ID_56D439D1833E42FFAFAC39DCBED0BBAA",1)</v>
      </c>
      <c r="H189" s="105">
        <f>SUMIFS([1]报表!$U:$U,[1]报表!$H:$H,F:F)</f>
        <v>10800</v>
      </c>
      <c r="I189" s="96" t="s">
        <v>60</v>
      </c>
      <c r="L189" s="96" t="s">
        <v>601</v>
      </c>
      <c r="M189" s="96" t="s">
        <v>598</v>
      </c>
      <c r="AF189" s="96">
        <v>1500</v>
      </c>
      <c r="AG189" s="96">
        <v>3000</v>
      </c>
      <c r="AH189" s="96">
        <v>3000</v>
      </c>
      <c r="AI189" s="96">
        <v>3000</v>
      </c>
      <c r="WTT189" s="106"/>
      <c r="WTU189" s="107"/>
      <c r="WTV189" s="107"/>
      <c r="WTW189" s="105"/>
      <c r="WTX189" s="105"/>
      <c r="WTY189" s="105"/>
      <c r="WTZ189" s="107"/>
      <c r="WUA189" s="105"/>
      <c r="WUB189" s="105"/>
      <c r="WUC189" s="105"/>
      <c r="WUD189" s="107"/>
      <c r="WUE189" s="107"/>
      <c r="WUF189" s="106"/>
      <c r="WUG189" s="106"/>
      <c r="WUH189" s="106"/>
      <c r="WUI189" s="106"/>
      <c r="WUJ189" s="106"/>
      <c r="WUU189" s="107"/>
      <c r="WUV189" s="107"/>
      <c r="WUW189" s="105"/>
      <c r="WUX189" s="105"/>
      <c r="WUY189" s="105"/>
      <c r="WUZ189" s="107"/>
      <c r="WVA189" s="105"/>
      <c r="WVB189" s="105"/>
      <c r="WVC189" s="105"/>
      <c r="WVD189" s="107"/>
      <c r="WVE189" s="107"/>
      <c r="WVF189" s="106"/>
      <c r="WVV189" s="107"/>
      <c r="WVW189" s="105"/>
      <c r="WVX189" s="105"/>
      <c r="WVY189" s="105"/>
      <c r="WVZ189" s="107"/>
      <c r="WWA189" s="105"/>
      <c r="WWB189" s="105"/>
      <c r="WWC189" s="105"/>
      <c r="WWD189" s="107"/>
      <c r="WWE189" s="107"/>
      <c r="WWF189" s="106"/>
      <c r="WWW189" s="105"/>
      <c r="WWX189" s="105"/>
      <c r="WWY189" s="105"/>
      <c r="WWZ189" s="107"/>
      <c r="WXA189" s="105"/>
      <c r="WXB189" s="105"/>
      <c r="WXC189" s="105"/>
      <c r="WXD189" s="107"/>
      <c r="WXE189" s="107"/>
      <c r="WXF189" s="106"/>
      <c r="WXX189" s="105"/>
      <c r="WXY189" s="105"/>
      <c r="WXZ189" s="107"/>
      <c r="WYA189" s="105"/>
      <c r="WYB189" s="105"/>
      <c r="WYC189" s="105"/>
      <c r="WYD189" s="107"/>
      <c r="WYE189" s="107"/>
      <c r="WYF189" s="106"/>
      <c r="WYY189" s="105"/>
      <c r="WYZ189" s="107"/>
      <c r="WZA189" s="105"/>
      <c r="WZB189" s="105"/>
      <c r="WZC189" s="105"/>
      <c r="WZD189" s="107"/>
      <c r="WZE189" s="107"/>
      <c r="WZF189" s="106"/>
      <c r="WZZ189" s="107"/>
      <c r="XAA189" s="105"/>
      <c r="XAB189" s="105"/>
      <c r="XAC189" s="105"/>
      <c r="XAD189" s="107"/>
      <c r="XAE189" s="107"/>
      <c r="XAF189" s="106"/>
      <c r="XBA189" s="105"/>
      <c r="XBB189" s="105"/>
      <c r="XBC189" s="105"/>
      <c r="XBD189" s="107"/>
      <c r="XBE189" s="107"/>
      <c r="XBF189" s="106"/>
      <c r="XCB189" s="105"/>
      <c r="XCC189" s="105"/>
      <c r="XCD189" s="107"/>
      <c r="XCE189" s="107"/>
      <c r="XCF189" s="106"/>
      <c r="XDC189" s="105"/>
      <c r="XDD189" s="107"/>
      <c r="XDE189" s="107"/>
      <c r="XDF189" s="106"/>
      <c r="XED189" s="107"/>
      <c r="XEE189" s="107"/>
      <c r="XEF189" s="106"/>
    </row>
    <row r="190" s="96" customFormat="1" customHeight="1" spans="1:44">
      <c r="A190" s="95">
        <v>186</v>
      </c>
      <c r="B190" s="103">
        <v>2</v>
      </c>
      <c r="C190" s="104" t="s">
        <v>22</v>
      </c>
      <c r="D190" s="104" t="s">
        <v>20</v>
      </c>
      <c r="E190" s="103" t="s">
        <v>414</v>
      </c>
      <c r="F190" s="106" t="s">
        <v>100</v>
      </c>
      <c r="G190" s="103"/>
      <c r="H190" s="105">
        <f>SUMIFS([1]报表!$U:$U,[1]报表!$H:$H,F:F)</f>
        <v>10800</v>
      </c>
      <c r="I190" s="105" t="s">
        <v>60</v>
      </c>
      <c r="J190" s="105"/>
      <c r="K190" s="105"/>
      <c r="L190" s="103" t="str">
        <f>L189</f>
        <v>磨抛</v>
      </c>
      <c r="M190" s="104" t="s">
        <v>599</v>
      </c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13"/>
    </row>
    <row r="191" s="95" customFormat="1" customHeight="1" spans="1:46">
      <c r="A191" s="95">
        <v>187</v>
      </c>
      <c r="B191" s="103">
        <v>1</v>
      </c>
      <c r="C191" s="103" t="s">
        <v>29</v>
      </c>
      <c r="D191" s="104" t="s">
        <v>20</v>
      </c>
      <c r="E191" s="103" t="s">
        <v>441</v>
      </c>
      <c r="F191" s="106" t="s">
        <v>73</v>
      </c>
      <c r="G191" s="103"/>
      <c r="H191" s="105">
        <f>SUMIFS([1]报表!$U:$U,[1]报表!$H:$H,F:F)</f>
        <v>28040</v>
      </c>
      <c r="I191" s="105" t="s">
        <v>60</v>
      </c>
      <c r="J191" s="105"/>
      <c r="K191" s="105"/>
      <c r="L191" s="103" t="s">
        <v>597</v>
      </c>
      <c r="M191" s="103" t="s">
        <v>598</v>
      </c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 t="s">
        <v>610</v>
      </c>
      <c r="AB191" s="10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96"/>
      <c r="AT191" s="96"/>
    </row>
    <row r="192" s="95" customFormat="1" customHeight="1" spans="1:46">
      <c r="A192" s="95">
        <v>188</v>
      </c>
      <c r="B192" s="103">
        <v>1</v>
      </c>
      <c r="C192" s="103" t="s">
        <v>29</v>
      </c>
      <c r="D192" s="104" t="s">
        <v>20</v>
      </c>
      <c r="E192" s="103" t="s">
        <v>441</v>
      </c>
      <c r="F192" s="106" t="s">
        <v>73</v>
      </c>
      <c r="G192" s="103"/>
      <c r="H192" s="105">
        <f>SUMIFS([1]报表!$U:$U,[1]报表!$H:$H,F:F)</f>
        <v>28040</v>
      </c>
      <c r="I192" s="105" t="s">
        <v>60</v>
      </c>
      <c r="J192" s="105"/>
      <c r="K192" s="105"/>
      <c r="L192" s="103" t="str">
        <f>L191</f>
        <v>压铸</v>
      </c>
      <c r="M192" s="103" t="s">
        <v>599</v>
      </c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96"/>
      <c r="AT192" s="96"/>
    </row>
    <row r="193" s="95" customFormat="1" customHeight="1" spans="1:46">
      <c r="A193" s="95">
        <v>189</v>
      </c>
      <c r="B193" s="103">
        <v>1</v>
      </c>
      <c r="C193" s="103" t="s">
        <v>29</v>
      </c>
      <c r="D193" s="104" t="s">
        <v>20</v>
      </c>
      <c r="E193" s="103" t="s">
        <v>441</v>
      </c>
      <c r="F193" s="106" t="s">
        <v>73</v>
      </c>
      <c r="G193" s="103"/>
      <c r="H193" s="105">
        <f>SUMIFS([1]报表!$U:$U,[1]报表!$H:$H,F:F)</f>
        <v>28040</v>
      </c>
      <c r="I193" s="105" t="s">
        <v>60</v>
      </c>
      <c r="J193" s="105"/>
      <c r="K193" s="105"/>
      <c r="L193" s="103" t="s">
        <v>600</v>
      </c>
      <c r="M193" s="103" t="s">
        <v>598</v>
      </c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13"/>
      <c r="AD193" s="113" t="s">
        <v>611</v>
      </c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96"/>
      <c r="AT193" s="96"/>
    </row>
    <row r="194" s="95" customFormat="1" customHeight="1" spans="1:46">
      <c r="A194" s="95">
        <v>190</v>
      </c>
      <c r="B194" s="103">
        <v>1</v>
      </c>
      <c r="C194" s="103" t="s">
        <v>29</v>
      </c>
      <c r="D194" s="104" t="s">
        <v>20</v>
      </c>
      <c r="E194" s="103" t="s">
        <v>441</v>
      </c>
      <c r="F194" s="106" t="s">
        <v>73</v>
      </c>
      <c r="G194" s="103"/>
      <c r="H194" s="105">
        <f>SUMIFS([1]报表!$U:$U,[1]报表!$H:$H,F:F)</f>
        <v>28040</v>
      </c>
      <c r="I194" s="105" t="s">
        <v>60</v>
      </c>
      <c r="J194" s="105"/>
      <c r="K194" s="105"/>
      <c r="L194" s="103" t="str">
        <f>L193</f>
        <v>机加</v>
      </c>
      <c r="M194" s="103" t="s">
        <v>599</v>
      </c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96"/>
      <c r="AT194" s="96"/>
    </row>
    <row r="195" s="96" customFormat="1" customHeight="1" spans="1:16359">
      <c r="A195" s="107">
        <v>191</v>
      </c>
      <c r="B195" s="106">
        <v>1</v>
      </c>
      <c r="C195" s="96" t="s">
        <v>29</v>
      </c>
      <c r="D195" s="96" t="s">
        <v>20</v>
      </c>
      <c r="E195" s="96" t="s">
        <v>441</v>
      </c>
      <c r="F195" s="97" t="s">
        <v>73</v>
      </c>
      <c r="G195" s="96" t="str">
        <f>_xlfn.DISPIMG("ID_BA2B5655CA9F4568B274880EF64A794C",1)</f>
        <v>=DISPIMG("ID_BA2B5655CA9F4568B274880EF64A794C",1)</v>
      </c>
      <c r="H195" s="105">
        <f>SUMIFS([1]报表!$U:$U,[1]报表!$H:$H,F:F)</f>
        <v>28040</v>
      </c>
      <c r="I195" s="96" t="s">
        <v>60</v>
      </c>
      <c r="L195" s="96" t="s">
        <v>601</v>
      </c>
      <c r="M195" s="96" t="s">
        <v>598</v>
      </c>
      <c r="AA195" s="96">
        <v>3000</v>
      </c>
      <c r="AB195" s="96">
        <v>3000</v>
      </c>
      <c r="AC195" s="96">
        <v>3000</v>
      </c>
      <c r="AD195" s="96">
        <v>3000</v>
      </c>
      <c r="AE195" s="96">
        <v>3000</v>
      </c>
      <c r="AF195" s="96">
        <v>3000</v>
      </c>
      <c r="WSS195" s="106"/>
      <c r="WST195" s="107"/>
      <c r="WSU195" s="107"/>
      <c r="WSV195" s="105"/>
      <c r="WSW195" s="105"/>
      <c r="WSX195" s="105"/>
      <c r="WSY195" s="107"/>
      <c r="WSZ195" s="105"/>
      <c r="WTA195" s="105"/>
      <c r="WTB195" s="105"/>
      <c r="WTC195" s="107"/>
      <c r="WTD195" s="107"/>
      <c r="WTE195" s="106"/>
      <c r="WTF195" s="106"/>
      <c r="WTG195" s="106"/>
      <c r="WTH195" s="106"/>
      <c r="WTI195" s="106"/>
      <c r="WTT195" s="107"/>
      <c r="WTU195" s="107"/>
      <c r="WTV195" s="105"/>
      <c r="WTW195" s="105"/>
      <c r="WTX195" s="105"/>
      <c r="WTY195" s="107"/>
      <c r="WTZ195" s="105"/>
      <c r="WUA195" s="105"/>
      <c r="WUB195" s="105"/>
      <c r="WUC195" s="107"/>
      <c r="WUD195" s="107"/>
      <c r="WUE195" s="106"/>
      <c r="WUU195" s="107"/>
      <c r="WUV195" s="105"/>
      <c r="WUW195" s="105"/>
      <c r="WUX195" s="105"/>
      <c r="WUY195" s="107"/>
      <c r="WUZ195" s="105"/>
      <c r="WVA195" s="105"/>
      <c r="WVB195" s="105"/>
      <c r="WVC195" s="107"/>
      <c r="WVD195" s="107"/>
      <c r="WVE195" s="106"/>
      <c r="WVV195" s="105"/>
      <c r="WVW195" s="105"/>
      <c r="WVX195" s="105"/>
      <c r="WVY195" s="107"/>
      <c r="WVZ195" s="105"/>
      <c r="WWA195" s="105"/>
      <c r="WWB195" s="105"/>
      <c r="WWC195" s="107"/>
      <c r="WWD195" s="107"/>
      <c r="WWE195" s="106"/>
      <c r="WWW195" s="105"/>
      <c r="WWX195" s="105"/>
      <c r="WWY195" s="107"/>
      <c r="WWZ195" s="105"/>
      <c r="WXA195" s="105"/>
      <c r="WXB195" s="105"/>
      <c r="WXC195" s="107"/>
      <c r="WXD195" s="107"/>
      <c r="WXE195" s="106"/>
      <c r="WXX195" s="105"/>
      <c r="WXY195" s="107"/>
      <c r="WXZ195" s="105"/>
      <c r="WYA195" s="105"/>
      <c r="WYB195" s="105"/>
      <c r="WYC195" s="107"/>
      <c r="WYD195" s="107"/>
      <c r="WYE195" s="106"/>
      <c r="WYY195" s="107"/>
      <c r="WYZ195" s="105"/>
      <c r="WZA195" s="105"/>
      <c r="WZB195" s="105"/>
      <c r="WZC195" s="107"/>
      <c r="WZD195" s="107"/>
      <c r="WZE195" s="106"/>
      <c r="WZZ195" s="105"/>
      <c r="XAA195" s="105"/>
      <c r="XAB195" s="105"/>
      <c r="XAC195" s="107"/>
      <c r="XAD195" s="107"/>
      <c r="XAE195" s="106"/>
      <c r="XBA195" s="105"/>
      <c r="XBB195" s="105"/>
      <c r="XBC195" s="107"/>
      <c r="XBD195" s="107"/>
      <c r="XBE195" s="106"/>
      <c r="XCB195" s="105"/>
      <c r="XCC195" s="107"/>
      <c r="XCD195" s="107"/>
      <c r="XCE195" s="106"/>
      <c r="XDC195" s="107"/>
      <c r="XDD195" s="107"/>
      <c r="XDE195" s="106"/>
      <c r="XED195" s="107"/>
      <c r="XEE195" s="106"/>
    </row>
    <row r="196" s="95" customFormat="1" customHeight="1" spans="1:46">
      <c r="A196" s="95">
        <v>192</v>
      </c>
      <c r="B196" s="103">
        <v>1</v>
      </c>
      <c r="C196" s="103" t="s">
        <v>29</v>
      </c>
      <c r="D196" s="104" t="s">
        <v>20</v>
      </c>
      <c r="E196" s="103" t="s">
        <v>441</v>
      </c>
      <c r="F196" s="106" t="s">
        <v>73</v>
      </c>
      <c r="G196" s="103"/>
      <c r="H196" s="105">
        <f>SUMIFS([1]报表!$U:$U,[1]报表!$H:$H,F:F)</f>
        <v>28040</v>
      </c>
      <c r="I196" s="105" t="s">
        <v>60</v>
      </c>
      <c r="J196" s="105"/>
      <c r="K196" s="105"/>
      <c r="L196" s="103" t="str">
        <f>L195</f>
        <v>磨抛</v>
      </c>
      <c r="M196" s="103" t="s">
        <v>599</v>
      </c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 t="s">
        <v>637</v>
      </c>
      <c r="AB196" s="10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96"/>
      <c r="AT196" s="96"/>
    </row>
    <row r="197" s="95" customFormat="1" customHeight="1" spans="1:46">
      <c r="A197" s="95">
        <v>193</v>
      </c>
      <c r="B197" s="103">
        <v>2</v>
      </c>
      <c r="C197" s="103" t="s">
        <v>29</v>
      </c>
      <c r="D197" s="104" t="s">
        <v>20</v>
      </c>
      <c r="E197" s="103" t="s">
        <v>414</v>
      </c>
      <c r="F197" s="106" t="s">
        <v>74</v>
      </c>
      <c r="G197" s="103"/>
      <c r="H197" s="105">
        <f>SUMIFS([1]报表!$U:$U,[1]报表!$H:$H,F:F)</f>
        <v>36000</v>
      </c>
      <c r="I197" s="105" t="s">
        <v>60</v>
      </c>
      <c r="J197" s="105"/>
      <c r="K197" s="105"/>
      <c r="L197" s="103" t="s">
        <v>597</v>
      </c>
      <c r="M197" s="103" t="s">
        <v>598</v>
      </c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03"/>
      <c r="AA197" s="103">
        <v>3500</v>
      </c>
      <c r="AB197" s="103">
        <v>3500</v>
      </c>
      <c r="AC197" s="103">
        <v>3500</v>
      </c>
      <c r="AD197" s="103">
        <v>3500</v>
      </c>
      <c r="AE197" s="103">
        <v>3500</v>
      </c>
      <c r="AF197" s="103">
        <v>3500</v>
      </c>
      <c r="AG197" s="103">
        <v>3500</v>
      </c>
      <c r="AH197" s="103">
        <v>3500</v>
      </c>
      <c r="AI197" s="103">
        <v>3500</v>
      </c>
      <c r="AJ197" s="103">
        <v>3500</v>
      </c>
      <c r="AK197" s="103">
        <v>3500</v>
      </c>
      <c r="AL197" s="103">
        <v>3500</v>
      </c>
      <c r="AM197" s="103"/>
      <c r="AN197" s="113"/>
      <c r="AO197" s="113"/>
      <c r="AP197" s="113"/>
      <c r="AQ197" s="113"/>
      <c r="AR197" s="113"/>
      <c r="AS197" s="96"/>
      <c r="AT197" s="96"/>
    </row>
    <row r="198" s="95" customFormat="1" customHeight="1" spans="1:46">
      <c r="A198" s="95">
        <v>194</v>
      </c>
      <c r="B198" s="103">
        <v>2</v>
      </c>
      <c r="C198" s="103" t="s">
        <v>29</v>
      </c>
      <c r="D198" s="104" t="s">
        <v>20</v>
      </c>
      <c r="E198" s="103" t="s">
        <v>414</v>
      </c>
      <c r="F198" s="106" t="s">
        <v>74</v>
      </c>
      <c r="G198" s="103"/>
      <c r="H198" s="105">
        <f>SUMIFS([1]报表!$U:$U,[1]报表!$H:$H,F:F)</f>
        <v>36000</v>
      </c>
      <c r="I198" s="105" t="s">
        <v>60</v>
      </c>
      <c r="J198" s="105"/>
      <c r="K198" s="105"/>
      <c r="L198" s="103" t="str">
        <f>L197</f>
        <v>压铸</v>
      </c>
      <c r="M198" s="103" t="s">
        <v>599</v>
      </c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96"/>
      <c r="AT198" s="96"/>
    </row>
    <row r="199" s="95" customFormat="1" customHeight="1" spans="1:46">
      <c r="A199" s="95">
        <v>195</v>
      </c>
      <c r="B199" s="103">
        <v>2</v>
      </c>
      <c r="C199" s="103" t="s">
        <v>29</v>
      </c>
      <c r="D199" s="104" t="s">
        <v>20</v>
      </c>
      <c r="E199" s="103" t="s">
        <v>414</v>
      </c>
      <c r="F199" s="106" t="s">
        <v>74</v>
      </c>
      <c r="G199" s="103"/>
      <c r="H199" s="105">
        <f>SUMIFS([1]报表!$U:$U,[1]报表!$H:$H,F:F)</f>
        <v>36000</v>
      </c>
      <c r="I199" s="105" t="s">
        <v>60</v>
      </c>
      <c r="J199" s="105"/>
      <c r="K199" s="105"/>
      <c r="L199" s="103" t="s">
        <v>600</v>
      </c>
      <c r="M199" s="103" t="s">
        <v>598</v>
      </c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03"/>
      <c r="AA199" s="103"/>
      <c r="AB199" s="103">
        <v>600</v>
      </c>
      <c r="AC199" s="103">
        <v>600</v>
      </c>
      <c r="AD199" s="103">
        <v>600</v>
      </c>
      <c r="AE199" s="103">
        <v>800</v>
      </c>
      <c r="AF199" s="103">
        <v>800</v>
      </c>
      <c r="AG199" s="103">
        <v>800</v>
      </c>
      <c r="AH199" s="103">
        <v>800</v>
      </c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96"/>
      <c r="AT199" s="96"/>
    </row>
    <row r="200" s="95" customFormat="1" customHeight="1" spans="1:46">
      <c r="A200" s="95">
        <v>196</v>
      </c>
      <c r="B200" s="103">
        <v>2</v>
      </c>
      <c r="C200" s="103" t="s">
        <v>29</v>
      </c>
      <c r="D200" s="104" t="s">
        <v>20</v>
      </c>
      <c r="E200" s="103" t="s">
        <v>414</v>
      </c>
      <c r="F200" s="106" t="s">
        <v>74</v>
      </c>
      <c r="G200" s="103"/>
      <c r="H200" s="105">
        <f>SUMIFS([1]报表!$U:$U,[1]报表!$H:$H,F:F)</f>
        <v>36000</v>
      </c>
      <c r="I200" s="105" t="s">
        <v>60</v>
      </c>
      <c r="J200" s="105"/>
      <c r="K200" s="105"/>
      <c r="L200" s="103" t="str">
        <f>L199</f>
        <v>机加</v>
      </c>
      <c r="M200" s="103" t="s">
        <v>599</v>
      </c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03"/>
      <c r="AA200" s="103" t="s">
        <v>638</v>
      </c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96"/>
      <c r="AT200" s="96"/>
    </row>
    <row r="201" s="96" customFormat="1" customHeight="1" spans="1:16358">
      <c r="A201" s="106">
        <v>197</v>
      </c>
      <c r="B201" s="96">
        <v>2</v>
      </c>
      <c r="C201" s="96" t="s">
        <v>29</v>
      </c>
      <c r="D201" s="96" t="s">
        <v>20</v>
      </c>
      <c r="E201" s="96" t="s">
        <v>414</v>
      </c>
      <c r="F201" s="97" t="s">
        <v>74</v>
      </c>
      <c r="G201" s="96" t="str">
        <f>_xlfn.DISPIMG("ID_DF91D9615B3C4D02806B67081925C2B0",1)</f>
        <v>=DISPIMG("ID_DF91D9615B3C4D02806B67081925C2B0",1)</v>
      </c>
      <c r="H201" s="105">
        <f>SUMIFS([1]报表!$U:$U,[1]报表!$H:$H,F:F)</f>
        <v>36000</v>
      </c>
      <c r="I201" s="96" t="s">
        <v>60</v>
      </c>
      <c r="L201" s="96" t="s">
        <v>601</v>
      </c>
      <c r="M201" s="96" t="s">
        <v>598</v>
      </c>
      <c r="AA201" s="96" t="s">
        <v>639</v>
      </c>
      <c r="WRR201" s="106"/>
      <c r="WRS201" s="107"/>
      <c r="WRT201" s="107"/>
      <c r="WRU201" s="105"/>
      <c r="WRV201" s="105"/>
      <c r="WRW201" s="105"/>
      <c r="WRX201" s="107"/>
      <c r="WRY201" s="105"/>
      <c r="WRZ201" s="105"/>
      <c r="WSA201" s="105"/>
      <c r="WSB201" s="107"/>
      <c r="WSC201" s="107"/>
      <c r="WSD201" s="106"/>
      <c r="WSE201" s="106"/>
      <c r="WSF201" s="106"/>
      <c r="WSG201" s="106"/>
      <c r="WSH201" s="106"/>
      <c r="WSS201" s="107"/>
      <c r="WST201" s="107"/>
      <c r="WSU201" s="105"/>
      <c r="WSV201" s="105"/>
      <c r="WSW201" s="105"/>
      <c r="WSX201" s="107"/>
      <c r="WSY201" s="105"/>
      <c r="WSZ201" s="105"/>
      <c r="WTA201" s="105"/>
      <c r="WTB201" s="107"/>
      <c r="WTC201" s="107"/>
      <c r="WTD201" s="106"/>
      <c r="WTT201" s="107"/>
      <c r="WTU201" s="105"/>
      <c r="WTV201" s="105"/>
      <c r="WTW201" s="105"/>
      <c r="WTX201" s="107"/>
      <c r="WTY201" s="105"/>
      <c r="WTZ201" s="105"/>
      <c r="WUA201" s="105"/>
      <c r="WUB201" s="107"/>
      <c r="WUC201" s="107"/>
      <c r="WUD201" s="106"/>
      <c r="WUU201" s="105"/>
      <c r="WUV201" s="105"/>
      <c r="WUW201" s="105"/>
      <c r="WUX201" s="107"/>
      <c r="WUY201" s="105"/>
      <c r="WUZ201" s="105"/>
      <c r="WVA201" s="105"/>
      <c r="WVB201" s="107"/>
      <c r="WVC201" s="107"/>
      <c r="WVD201" s="106"/>
      <c r="WVV201" s="105"/>
      <c r="WVW201" s="105"/>
      <c r="WVX201" s="107"/>
      <c r="WVY201" s="105"/>
      <c r="WVZ201" s="105"/>
      <c r="WWA201" s="105"/>
      <c r="WWB201" s="107"/>
      <c r="WWC201" s="107"/>
      <c r="WWD201" s="106"/>
      <c r="WWW201" s="105"/>
      <c r="WWX201" s="107"/>
      <c r="WWY201" s="105"/>
      <c r="WWZ201" s="105"/>
      <c r="WXA201" s="105"/>
      <c r="WXB201" s="107"/>
      <c r="WXC201" s="107"/>
      <c r="WXD201" s="106"/>
      <c r="WXX201" s="107"/>
      <c r="WXY201" s="105"/>
      <c r="WXZ201" s="105"/>
      <c r="WYA201" s="105"/>
      <c r="WYB201" s="107"/>
      <c r="WYC201" s="107"/>
      <c r="WYD201" s="106"/>
      <c r="WYY201" s="105"/>
      <c r="WYZ201" s="105"/>
      <c r="WZA201" s="105"/>
      <c r="WZB201" s="107"/>
      <c r="WZC201" s="107"/>
      <c r="WZD201" s="106"/>
      <c r="WZZ201" s="105"/>
      <c r="XAA201" s="105"/>
      <c r="XAB201" s="107"/>
      <c r="XAC201" s="107"/>
      <c r="XAD201" s="106"/>
      <c r="XBA201" s="105"/>
      <c r="XBB201" s="107"/>
      <c r="XBC201" s="107"/>
      <c r="XBD201" s="106"/>
      <c r="XCB201" s="107"/>
      <c r="XCC201" s="107"/>
      <c r="XCD201" s="106"/>
      <c r="XDC201" s="107"/>
      <c r="XDD201" s="106"/>
      <c r="XED201" s="106"/>
    </row>
    <row r="202" s="95" customFormat="1" customHeight="1" spans="1:46">
      <c r="A202" s="95">
        <v>198</v>
      </c>
      <c r="B202" s="103">
        <v>2</v>
      </c>
      <c r="C202" s="103" t="s">
        <v>29</v>
      </c>
      <c r="D202" s="104" t="s">
        <v>20</v>
      </c>
      <c r="E202" s="103" t="s">
        <v>414</v>
      </c>
      <c r="F202" s="106" t="s">
        <v>74</v>
      </c>
      <c r="G202" s="103"/>
      <c r="H202" s="105">
        <f>SUMIFS([1]报表!$U:$U,[1]报表!$H:$H,F:F)</f>
        <v>36000</v>
      </c>
      <c r="I202" s="105" t="s">
        <v>60</v>
      </c>
      <c r="J202" s="105"/>
      <c r="K202" s="105"/>
      <c r="L202" s="103" t="str">
        <f>L201</f>
        <v>磨抛</v>
      </c>
      <c r="M202" s="103" t="s">
        <v>599</v>
      </c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03"/>
      <c r="AA202" s="103" t="s">
        <v>640</v>
      </c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96"/>
      <c r="AT202" s="96"/>
    </row>
    <row r="203" s="95" customFormat="1" customHeight="1" spans="1:46">
      <c r="A203" s="95">
        <v>199</v>
      </c>
      <c r="B203" s="103">
        <v>3</v>
      </c>
      <c r="C203" s="103" t="s">
        <v>29</v>
      </c>
      <c r="D203" s="104" t="s">
        <v>20</v>
      </c>
      <c r="E203" s="103" t="s">
        <v>414</v>
      </c>
      <c r="F203" s="106" t="s">
        <v>75</v>
      </c>
      <c r="G203" s="103"/>
      <c r="H203" s="105">
        <f>SUMIFS([1]报表!$U:$U,[1]报表!$H:$H,F:F)</f>
        <v>6200</v>
      </c>
      <c r="I203" s="105" t="s">
        <v>60</v>
      </c>
      <c r="J203" s="105"/>
      <c r="K203" s="105"/>
      <c r="L203" s="103" t="s">
        <v>597</v>
      </c>
      <c r="M203" s="103" t="s">
        <v>598</v>
      </c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13"/>
      <c r="AP203" s="113"/>
      <c r="AQ203" s="113"/>
      <c r="AR203" s="113"/>
      <c r="AS203" s="96"/>
      <c r="AT203" s="96"/>
    </row>
    <row r="204" s="95" customFormat="1" customHeight="1" spans="1:46">
      <c r="A204" s="95">
        <v>200</v>
      </c>
      <c r="B204" s="103">
        <v>3</v>
      </c>
      <c r="C204" s="103" t="s">
        <v>29</v>
      </c>
      <c r="D204" s="104" t="s">
        <v>20</v>
      </c>
      <c r="E204" s="103" t="s">
        <v>414</v>
      </c>
      <c r="F204" s="106" t="s">
        <v>75</v>
      </c>
      <c r="G204" s="103"/>
      <c r="H204" s="105">
        <f>SUMIFS([1]报表!$U:$U,[1]报表!$H:$H,F:F)</f>
        <v>6200</v>
      </c>
      <c r="I204" s="105" t="s">
        <v>60</v>
      </c>
      <c r="J204" s="105"/>
      <c r="K204" s="105"/>
      <c r="L204" s="103" t="str">
        <f>L203</f>
        <v>压铸</v>
      </c>
      <c r="M204" s="103" t="s">
        <v>599</v>
      </c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96"/>
      <c r="AT204" s="96"/>
    </row>
    <row r="205" s="96" customFormat="1" customHeight="1" spans="1:44">
      <c r="A205" s="95">
        <v>201</v>
      </c>
      <c r="B205" s="103">
        <v>3</v>
      </c>
      <c r="C205" s="103" t="s">
        <v>29</v>
      </c>
      <c r="D205" s="104" t="s">
        <v>20</v>
      </c>
      <c r="E205" s="103" t="s">
        <v>414</v>
      </c>
      <c r="F205" s="106" t="s">
        <v>75</v>
      </c>
      <c r="G205" s="103"/>
      <c r="H205" s="105">
        <f>SUMIFS([1]报表!$U:$U,[1]报表!$H:$H,F:F)</f>
        <v>6200</v>
      </c>
      <c r="I205" s="105" t="s">
        <v>60</v>
      </c>
      <c r="J205" s="105"/>
      <c r="K205" s="105"/>
      <c r="L205" s="103" t="s">
        <v>600</v>
      </c>
      <c r="M205" s="103" t="s">
        <v>598</v>
      </c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</row>
    <row r="206" s="96" customFormat="1" customHeight="1" spans="1:44">
      <c r="A206" s="95">
        <v>202</v>
      </c>
      <c r="B206" s="103">
        <v>3</v>
      </c>
      <c r="C206" s="103" t="s">
        <v>29</v>
      </c>
      <c r="D206" s="104" t="s">
        <v>20</v>
      </c>
      <c r="E206" s="103" t="s">
        <v>414</v>
      </c>
      <c r="F206" s="106" t="s">
        <v>75</v>
      </c>
      <c r="G206" s="103"/>
      <c r="H206" s="105">
        <f>SUMIFS([1]报表!$U:$U,[1]报表!$H:$H,F:F)</f>
        <v>6200</v>
      </c>
      <c r="I206" s="105" t="s">
        <v>60</v>
      </c>
      <c r="J206" s="105"/>
      <c r="K206" s="105"/>
      <c r="L206" s="103" t="str">
        <f>L205</f>
        <v>机加</v>
      </c>
      <c r="M206" s="103" t="s">
        <v>599</v>
      </c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</row>
    <row r="207" s="96" customFormat="1" customHeight="1" spans="1:16358">
      <c r="A207" s="106">
        <v>203</v>
      </c>
      <c r="B207" s="96">
        <v>3</v>
      </c>
      <c r="C207" s="96" t="s">
        <v>29</v>
      </c>
      <c r="D207" s="96" t="s">
        <v>20</v>
      </c>
      <c r="E207" s="96" t="s">
        <v>414</v>
      </c>
      <c r="F207" s="97" t="s">
        <v>75</v>
      </c>
      <c r="G207" s="96" t="str">
        <f>_xlfn.DISPIMG("ID_71DB3D64CD7F434BAEBFA51C469A50FF",1)</f>
        <v>=DISPIMG("ID_71DB3D64CD7F434BAEBFA51C469A50FF",1)</v>
      </c>
      <c r="H207" s="105">
        <f>SUMIFS([1]报表!$U:$U,[1]报表!$H:$H,F:F)</f>
        <v>6200</v>
      </c>
      <c r="I207" s="96" t="s">
        <v>60</v>
      </c>
      <c r="L207" s="96" t="s">
        <v>601</v>
      </c>
      <c r="M207" s="96" t="s">
        <v>598</v>
      </c>
      <c r="WRR207" s="106"/>
      <c r="WRS207" s="107"/>
      <c r="WRT207" s="107"/>
      <c r="WRU207" s="105"/>
      <c r="WRV207" s="105"/>
      <c r="WRW207" s="105"/>
      <c r="WRX207" s="107"/>
      <c r="WRY207" s="105"/>
      <c r="WRZ207" s="105"/>
      <c r="WSA207" s="105"/>
      <c r="WSB207" s="107"/>
      <c r="WSC207" s="107"/>
      <c r="WSD207" s="106"/>
      <c r="WSE207" s="106"/>
      <c r="WSF207" s="106"/>
      <c r="WSG207" s="106"/>
      <c r="WSH207" s="106"/>
      <c r="WSS207" s="107"/>
      <c r="WST207" s="107"/>
      <c r="WSU207" s="105"/>
      <c r="WSV207" s="105"/>
      <c r="WSW207" s="105"/>
      <c r="WSX207" s="107"/>
      <c r="WSY207" s="105"/>
      <c r="WSZ207" s="105"/>
      <c r="WTA207" s="105"/>
      <c r="WTB207" s="107"/>
      <c r="WTC207" s="107"/>
      <c r="WTD207" s="106"/>
      <c r="WTT207" s="107"/>
      <c r="WTU207" s="105"/>
      <c r="WTV207" s="105"/>
      <c r="WTW207" s="105"/>
      <c r="WTX207" s="107"/>
      <c r="WTY207" s="105"/>
      <c r="WTZ207" s="105"/>
      <c r="WUA207" s="105"/>
      <c r="WUB207" s="107"/>
      <c r="WUC207" s="107"/>
      <c r="WUD207" s="106"/>
      <c r="WUU207" s="105"/>
      <c r="WUV207" s="105"/>
      <c r="WUW207" s="105"/>
      <c r="WUX207" s="107"/>
      <c r="WUY207" s="105"/>
      <c r="WUZ207" s="105"/>
      <c r="WVA207" s="105"/>
      <c r="WVB207" s="107"/>
      <c r="WVC207" s="107"/>
      <c r="WVD207" s="106"/>
      <c r="WVV207" s="105"/>
      <c r="WVW207" s="105"/>
      <c r="WVX207" s="107"/>
      <c r="WVY207" s="105"/>
      <c r="WVZ207" s="105"/>
      <c r="WWA207" s="105"/>
      <c r="WWB207" s="107"/>
      <c r="WWC207" s="107"/>
      <c r="WWD207" s="106"/>
      <c r="WWW207" s="105"/>
      <c r="WWX207" s="107"/>
      <c r="WWY207" s="105"/>
      <c r="WWZ207" s="105"/>
      <c r="WXA207" s="105"/>
      <c r="WXB207" s="107"/>
      <c r="WXC207" s="107"/>
      <c r="WXD207" s="106"/>
      <c r="WXX207" s="107"/>
      <c r="WXY207" s="105"/>
      <c r="WXZ207" s="105"/>
      <c r="WYA207" s="105"/>
      <c r="WYB207" s="107"/>
      <c r="WYC207" s="107"/>
      <c r="WYD207" s="106"/>
      <c r="WYY207" s="105"/>
      <c r="WYZ207" s="105"/>
      <c r="WZA207" s="105"/>
      <c r="WZB207" s="107"/>
      <c r="WZC207" s="107"/>
      <c r="WZD207" s="106"/>
      <c r="WZZ207" s="105"/>
      <c r="XAA207" s="105"/>
      <c r="XAB207" s="107"/>
      <c r="XAC207" s="107"/>
      <c r="XAD207" s="106"/>
      <c r="XBA207" s="105"/>
      <c r="XBB207" s="107"/>
      <c r="XBC207" s="107"/>
      <c r="XBD207" s="106"/>
      <c r="XCB207" s="107"/>
      <c r="XCC207" s="107"/>
      <c r="XCD207" s="106"/>
      <c r="XDC207" s="107"/>
      <c r="XDD207" s="106"/>
      <c r="XED207" s="106"/>
    </row>
    <row r="208" s="96" customFormat="1" customHeight="1" spans="1:44">
      <c r="A208" s="95">
        <v>204</v>
      </c>
      <c r="B208" s="103">
        <v>3</v>
      </c>
      <c r="C208" s="103" t="s">
        <v>29</v>
      </c>
      <c r="D208" s="104" t="s">
        <v>20</v>
      </c>
      <c r="E208" s="103" t="s">
        <v>414</v>
      </c>
      <c r="F208" s="106" t="s">
        <v>75</v>
      </c>
      <c r="G208" s="103"/>
      <c r="H208" s="105">
        <f>SUMIFS([1]报表!$U:$U,[1]报表!$H:$H,F:F)</f>
        <v>6200</v>
      </c>
      <c r="I208" s="105" t="s">
        <v>60</v>
      </c>
      <c r="J208" s="105"/>
      <c r="K208" s="105"/>
      <c r="L208" s="103" t="str">
        <f>L207</f>
        <v>磨抛</v>
      </c>
      <c r="M208" s="103" t="s">
        <v>599</v>
      </c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</row>
    <row r="209" s="95" customFormat="1" customHeight="1" spans="1:44">
      <c r="A209" s="95">
        <v>205</v>
      </c>
      <c r="B209" s="103">
        <v>1</v>
      </c>
      <c r="C209" s="104" t="s">
        <v>31</v>
      </c>
      <c r="D209" s="104" t="s">
        <v>20</v>
      </c>
      <c r="E209" s="104" t="s">
        <v>414</v>
      </c>
      <c r="F209" s="107" t="s">
        <v>70</v>
      </c>
      <c r="G209" s="104"/>
      <c r="H209" s="105">
        <f>SUMIFS([1]报表!$U:$U,[1]报表!$H:$H,F:F)</f>
        <v>3206</v>
      </c>
      <c r="I209" s="105" t="s">
        <v>60</v>
      </c>
      <c r="J209" s="105"/>
      <c r="K209" s="105"/>
      <c r="L209" s="104" t="s">
        <v>597</v>
      </c>
      <c r="M209" s="104" t="s">
        <v>598</v>
      </c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 t="s">
        <v>610</v>
      </c>
      <c r="AB209" s="10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</row>
    <row r="210" s="95" customFormat="1" customHeight="1" spans="1:44">
      <c r="A210" s="95">
        <v>206</v>
      </c>
      <c r="B210" s="103">
        <v>1</v>
      </c>
      <c r="C210" s="104" t="s">
        <v>31</v>
      </c>
      <c r="D210" s="104" t="s">
        <v>20</v>
      </c>
      <c r="E210" s="115" t="s">
        <v>414</v>
      </c>
      <c r="F210" s="109" t="s">
        <v>70</v>
      </c>
      <c r="G210" s="116"/>
      <c r="H210" s="105">
        <f>SUMIFS([1]报表!$U:$U,[1]报表!$H:$H,F:F)</f>
        <v>3206</v>
      </c>
      <c r="I210" s="105" t="s">
        <v>60</v>
      </c>
      <c r="J210" s="105"/>
      <c r="K210" s="105"/>
      <c r="L210" s="104" t="str">
        <f>L209</f>
        <v>压铸</v>
      </c>
      <c r="M210" s="104" t="s">
        <v>599</v>
      </c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</row>
    <row r="211" s="95" customFormat="1" customHeight="1" spans="1:44">
      <c r="A211" s="95">
        <v>207</v>
      </c>
      <c r="B211" s="103">
        <v>1</v>
      </c>
      <c r="C211" s="104" t="s">
        <v>31</v>
      </c>
      <c r="D211" s="104" t="s">
        <v>20</v>
      </c>
      <c r="E211" s="115" t="s">
        <v>414</v>
      </c>
      <c r="F211" s="109" t="s">
        <v>70</v>
      </c>
      <c r="G211" s="116"/>
      <c r="H211" s="105">
        <f>SUMIFS([1]报表!$U:$U,[1]报表!$H:$H,F:F)</f>
        <v>3206</v>
      </c>
      <c r="I211" s="105" t="s">
        <v>60</v>
      </c>
      <c r="J211" s="105"/>
      <c r="K211" s="105"/>
      <c r="L211" s="104" t="s">
        <v>600</v>
      </c>
      <c r="M211" s="104" t="s">
        <v>598</v>
      </c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 t="s">
        <v>611</v>
      </c>
      <c r="AB211" s="103"/>
      <c r="AC211" s="113"/>
      <c r="AD211" s="113"/>
      <c r="AE211" s="11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13"/>
    </row>
    <row r="212" s="95" customFormat="1" customHeight="1" spans="1:44">
      <c r="A212" s="95">
        <v>208</v>
      </c>
      <c r="B212" s="103">
        <v>1</v>
      </c>
      <c r="C212" s="104" t="s">
        <v>31</v>
      </c>
      <c r="D212" s="104" t="s">
        <v>20</v>
      </c>
      <c r="E212" s="115" t="s">
        <v>414</v>
      </c>
      <c r="F212" s="109" t="s">
        <v>70</v>
      </c>
      <c r="G212" s="116"/>
      <c r="H212" s="105">
        <f>SUMIFS([1]报表!$U:$U,[1]报表!$H:$H,F:F)</f>
        <v>3206</v>
      </c>
      <c r="I212" s="105" t="s">
        <v>60</v>
      </c>
      <c r="J212" s="105"/>
      <c r="K212" s="105"/>
      <c r="L212" s="104" t="str">
        <f>L211</f>
        <v>机加</v>
      </c>
      <c r="M212" s="104" t="s">
        <v>599</v>
      </c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>
        <v>1000</v>
      </c>
      <c r="AC212" s="113">
        <v>1000</v>
      </c>
      <c r="AD212" s="113">
        <v>1000</v>
      </c>
      <c r="AE212" s="11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13"/>
    </row>
    <row r="213" s="96" customFormat="1" customHeight="1" spans="1:16358">
      <c r="A213" s="106">
        <v>209</v>
      </c>
      <c r="B213" s="96">
        <v>1</v>
      </c>
      <c r="C213" s="96" t="s">
        <v>31</v>
      </c>
      <c r="D213" s="96" t="s">
        <v>20</v>
      </c>
      <c r="E213" s="96" t="s">
        <v>414</v>
      </c>
      <c r="F213" s="97" t="s">
        <v>70</v>
      </c>
      <c r="G213" s="96" t="str">
        <f>_xlfn.DISPIMG("ID_039D5D3CF77041E8A8E626BD765AF290",1)</f>
        <v>=DISPIMG("ID_039D5D3CF77041E8A8E626BD765AF290",1)</v>
      </c>
      <c r="H213" s="105">
        <f>SUMIFS([1]报表!$U:$U,[1]报表!$H:$H,F:F)</f>
        <v>3206</v>
      </c>
      <c r="I213" s="96" t="s">
        <v>60</v>
      </c>
      <c r="L213" s="96" t="s">
        <v>601</v>
      </c>
      <c r="M213" s="96" t="s">
        <v>598</v>
      </c>
      <c r="WRR213" s="106"/>
      <c r="WRS213" s="107"/>
      <c r="WRT213" s="107"/>
      <c r="WRU213" s="105"/>
      <c r="WRV213" s="105"/>
      <c r="WRW213" s="105"/>
      <c r="WRX213" s="107"/>
      <c r="WRY213" s="105"/>
      <c r="WRZ213" s="105"/>
      <c r="WSA213" s="105"/>
      <c r="WSB213" s="107"/>
      <c r="WSC213" s="107"/>
      <c r="WSD213" s="106"/>
      <c r="WSE213" s="106"/>
      <c r="WSF213" s="106"/>
      <c r="WSG213" s="106"/>
      <c r="WSH213" s="106"/>
      <c r="WSS213" s="107"/>
      <c r="WST213" s="107"/>
      <c r="WSU213" s="105"/>
      <c r="WSV213" s="105"/>
      <c r="WSW213" s="105"/>
      <c r="WSX213" s="107"/>
      <c r="WSY213" s="105"/>
      <c r="WSZ213" s="105"/>
      <c r="WTA213" s="105"/>
      <c r="WTB213" s="107"/>
      <c r="WTC213" s="107"/>
      <c r="WTD213" s="106"/>
      <c r="WTT213" s="107"/>
      <c r="WTU213" s="105"/>
      <c r="WTV213" s="105"/>
      <c r="WTW213" s="105"/>
      <c r="WTX213" s="107"/>
      <c r="WTY213" s="105"/>
      <c r="WTZ213" s="105"/>
      <c r="WUA213" s="105"/>
      <c r="WUB213" s="107"/>
      <c r="WUC213" s="107"/>
      <c r="WUD213" s="106"/>
      <c r="WUU213" s="105"/>
      <c r="WUV213" s="105"/>
      <c r="WUW213" s="105"/>
      <c r="WUX213" s="107"/>
      <c r="WUY213" s="105"/>
      <c r="WUZ213" s="105"/>
      <c r="WVA213" s="105"/>
      <c r="WVB213" s="107"/>
      <c r="WVC213" s="107"/>
      <c r="WVD213" s="106"/>
      <c r="WVV213" s="105"/>
      <c r="WVW213" s="105"/>
      <c r="WVX213" s="107"/>
      <c r="WVY213" s="105"/>
      <c r="WVZ213" s="105"/>
      <c r="WWA213" s="105"/>
      <c r="WWB213" s="107"/>
      <c r="WWC213" s="107"/>
      <c r="WWD213" s="106"/>
      <c r="WWW213" s="105"/>
      <c r="WWX213" s="107"/>
      <c r="WWY213" s="105"/>
      <c r="WWZ213" s="105"/>
      <c r="WXA213" s="105"/>
      <c r="WXB213" s="107"/>
      <c r="WXC213" s="107"/>
      <c r="WXD213" s="106"/>
      <c r="WXX213" s="107"/>
      <c r="WXY213" s="105"/>
      <c r="WXZ213" s="105"/>
      <c r="WYA213" s="105"/>
      <c r="WYB213" s="107"/>
      <c r="WYC213" s="107"/>
      <c r="WYD213" s="106"/>
      <c r="WYY213" s="105"/>
      <c r="WYZ213" s="105"/>
      <c r="WZA213" s="105"/>
      <c r="WZB213" s="107"/>
      <c r="WZC213" s="107"/>
      <c r="WZD213" s="106"/>
      <c r="WZZ213" s="105"/>
      <c r="XAA213" s="105"/>
      <c r="XAB213" s="107"/>
      <c r="XAC213" s="107"/>
      <c r="XAD213" s="106"/>
      <c r="XBA213" s="105"/>
      <c r="XBB213" s="107"/>
      <c r="XBC213" s="107"/>
      <c r="XBD213" s="106"/>
      <c r="XCB213" s="107"/>
      <c r="XCC213" s="107"/>
      <c r="XCD213" s="106"/>
      <c r="XDC213" s="107"/>
      <c r="XDD213" s="106"/>
      <c r="XED213" s="106"/>
    </row>
    <row r="214" s="95" customFormat="1" customHeight="1" spans="1:44">
      <c r="A214" s="95">
        <v>210</v>
      </c>
      <c r="B214" s="103">
        <v>1</v>
      </c>
      <c r="C214" s="104" t="s">
        <v>31</v>
      </c>
      <c r="D214" s="104" t="s">
        <v>20</v>
      </c>
      <c r="E214" s="103" t="s">
        <v>414</v>
      </c>
      <c r="F214" s="106" t="s">
        <v>70</v>
      </c>
      <c r="G214" s="103"/>
      <c r="H214" s="105">
        <f>SUMIFS([1]报表!$U:$U,[1]报表!$H:$H,F:F)</f>
        <v>3206</v>
      </c>
      <c r="I214" s="105" t="s">
        <v>60</v>
      </c>
      <c r="J214" s="105"/>
      <c r="K214" s="105"/>
      <c r="L214" s="103" t="str">
        <f>L213</f>
        <v>磨抛</v>
      </c>
      <c r="M214" s="104" t="s">
        <v>599</v>
      </c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</row>
    <row r="215" s="95" customFormat="1" customHeight="1" spans="1:44">
      <c r="A215" s="95">
        <v>211</v>
      </c>
      <c r="B215" s="103">
        <v>2</v>
      </c>
      <c r="C215" s="104" t="s">
        <v>31</v>
      </c>
      <c r="D215" s="104" t="s">
        <v>20</v>
      </c>
      <c r="E215" s="104" t="s">
        <v>414</v>
      </c>
      <c r="F215" s="107" t="s">
        <v>71</v>
      </c>
      <c r="G215" s="104"/>
      <c r="H215" s="105">
        <f>SUMIFS([1]报表!$U:$U,[1]报表!$H:$H,F:F)</f>
        <v>16</v>
      </c>
      <c r="I215" s="105" t="s">
        <v>60</v>
      </c>
      <c r="J215" s="105"/>
      <c r="K215" s="105"/>
      <c r="L215" s="104" t="s">
        <v>597</v>
      </c>
      <c r="M215" s="104" t="s">
        <v>598</v>
      </c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 t="s">
        <v>641</v>
      </c>
      <c r="AA215" s="103"/>
      <c r="AB215" s="10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</row>
    <row r="216" s="95" customFormat="1" customHeight="1" spans="1:44">
      <c r="A216" s="95">
        <v>212</v>
      </c>
      <c r="B216" s="103">
        <v>2</v>
      </c>
      <c r="C216" s="104" t="s">
        <v>31</v>
      </c>
      <c r="D216" s="104" t="s">
        <v>20</v>
      </c>
      <c r="E216" s="115" t="s">
        <v>414</v>
      </c>
      <c r="F216" s="109" t="s">
        <v>71</v>
      </c>
      <c r="G216" s="116"/>
      <c r="H216" s="105">
        <f>SUMIFS([1]报表!$U:$U,[1]报表!$H:$H,F:F)</f>
        <v>16</v>
      </c>
      <c r="I216" s="105" t="s">
        <v>60</v>
      </c>
      <c r="J216" s="105"/>
      <c r="K216" s="105"/>
      <c r="L216" s="104" t="str">
        <f>L215</f>
        <v>压铸</v>
      </c>
      <c r="M216" s="104" t="s">
        <v>599</v>
      </c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</row>
    <row r="217" s="95" customFormat="1" customHeight="1" spans="1:44">
      <c r="A217" s="95">
        <v>213</v>
      </c>
      <c r="B217" s="103">
        <v>2</v>
      </c>
      <c r="C217" s="104" t="s">
        <v>31</v>
      </c>
      <c r="D217" s="104" t="s">
        <v>20</v>
      </c>
      <c r="E217" s="115" t="s">
        <v>414</v>
      </c>
      <c r="F217" s="109" t="s">
        <v>71</v>
      </c>
      <c r="G217" s="116"/>
      <c r="H217" s="105">
        <f>SUMIFS([1]报表!$U:$U,[1]报表!$H:$H,F:F)</f>
        <v>16</v>
      </c>
      <c r="I217" s="105" t="s">
        <v>60</v>
      </c>
      <c r="J217" s="105"/>
      <c r="K217" s="105"/>
      <c r="L217" s="104" t="s">
        <v>600</v>
      </c>
      <c r="M217" s="104" t="s">
        <v>598</v>
      </c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13"/>
      <c r="AD217" s="113"/>
      <c r="AE217" s="11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13"/>
    </row>
    <row r="218" s="95" customFormat="1" customHeight="1" spans="1:44">
      <c r="A218" s="95">
        <v>214</v>
      </c>
      <c r="B218" s="103">
        <v>2</v>
      </c>
      <c r="C218" s="104" t="s">
        <v>31</v>
      </c>
      <c r="D218" s="104" t="s">
        <v>20</v>
      </c>
      <c r="E218" s="115" t="s">
        <v>414</v>
      </c>
      <c r="F218" s="109" t="s">
        <v>71</v>
      </c>
      <c r="G218" s="116"/>
      <c r="H218" s="105">
        <f>SUMIFS([1]报表!$U:$U,[1]报表!$H:$H,F:F)</f>
        <v>16</v>
      </c>
      <c r="I218" s="105" t="s">
        <v>60</v>
      </c>
      <c r="J218" s="105"/>
      <c r="K218" s="105"/>
      <c r="L218" s="104" t="str">
        <f>L217</f>
        <v>机加</v>
      </c>
      <c r="M218" s="104" t="s">
        <v>599</v>
      </c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13"/>
      <c r="AD218" s="113"/>
      <c r="AE218" s="11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13"/>
    </row>
    <row r="219" s="96" customFormat="1" customHeight="1" spans="1:16358">
      <c r="A219" s="106">
        <v>215</v>
      </c>
      <c r="B219" s="96">
        <v>2</v>
      </c>
      <c r="C219" s="96" t="s">
        <v>31</v>
      </c>
      <c r="D219" s="96" t="s">
        <v>20</v>
      </c>
      <c r="E219" s="96" t="s">
        <v>414</v>
      </c>
      <c r="F219" s="97" t="s">
        <v>71</v>
      </c>
      <c r="H219" s="105">
        <f>SUMIFS([1]报表!$U:$U,[1]报表!$H:$H,F:F)</f>
        <v>16</v>
      </c>
      <c r="I219" s="96" t="s">
        <v>60</v>
      </c>
      <c r="L219" s="96" t="s">
        <v>601</v>
      </c>
      <c r="M219" s="96" t="s">
        <v>598</v>
      </c>
      <c r="WRR219" s="106"/>
      <c r="WRS219" s="107"/>
      <c r="WRT219" s="107"/>
      <c r="WRU219" s="105"/>
      <c r="WRV219" s="105"/>
      <c r="WRW219" s="105"/>
      <c r="WRX219" s="107"/>
      <c r="WRY219" s="105"/>
      <c r="WRZ219" s="105"/>
      <c r="WSA219" s="105"/>
      <c r="WSB219" s="107"/>
      <c r="WSC219" s="107"/>
      <c r="WSD219" s="106"/>
      <c r="WSE219" s="106"/>
      <c r="WSF219" s="106"/>
      <c r="WSG219" s="106"/>
      <c r="WSH219" s="106"/>
      <c r="WSS219" s="107"/>
      <c r="WST219" s="107"/>
      <c r="WSU219" s="105"/>
      <c r="WSV219" s="105"/>
      <c r="WSW219" s="105"/>
      <c r="WSX219" s="107"/>
      <c r="WSY219" s="105"/>
      <c r="WSZ219" s="105"/>
      <c r="WTA219" s="105"/>
      <c r="WTB219" s="107"/>
      <c r="WTC219" s="107"/>
      <c r="WTD219" s="106"/>
      <c r="WTT219" s="107"/>
      <c r="WTU219" s="105"/>
      <c r="WTV219" s="105"/>
      <c r="WTW219" s="105"/>
      <c r="WTX219" s="107"/>
      <c r="WTY219" s="105"/>
      <c r="WTZ219" s="105"/>
      <c r="WUA219" s="105"/>
      <c r="WUB219" s="107"/>
      <c r="WUC219" s="107"/>
      <c r="WUD219" s="106"/>
      <c r="WUU219" s="105"/>
      <c r="WUV219" s="105"/>
      <c r="WUW219" s="105"/>
      <c r="WUX219" s="107"/>
      <c r="WUY219" s="105"/>
      <c r="WUZ219" s="105"/>
      <c r="WVA219" s="105"/>
      <c r="WVB219" s="107"/>
      <c r="WVC219" s="107"/>
      <c r="WVD219" s="106"/>
      <c r="WVV219" s="105"/>
      <c r="WVW219" s="105"/>
      <c r="WVX219" s="107"/>
      <c r="WVY219" s="105"/>
      <c r="WVZ219" s="105"/>
      <c r="WWA219" s="105"/>
      <c r="WWB219" s="107"/>
      <c r="WWC219" s="107"/>
      <c r="WWD219" s="106"/>
      <c r="WWW219" s="105"/>
      <c r="WWX219" s="107"/>
      <c r="WWY219" s="105"/>
      <c r="WWZ219" s="105"/>
      <c r="WXA219" s="105"/>
      <c r="WXB219" s="107"/>
      <c r="WXC219" s="107"/>
      <c r="WXD219" s="106"/>
      <c r="WXX219" s="107"/>
      <c r="WXY219" s="105"/>
      <c r="WXZ219" s="105"/>
      <c r="WYA219" s="105"/>
      <c r="WYB219" s="107"/>
      <c r="WYC219" s="107"/>
      <c r="WYD219" s="106"/>
      <c r="WYY219" s="105"/>
      <c r="WYZ219" s="105"/>
      <c r="WZA219" s="105"/>
      <c r="WZB219" s="107"/>
      <c r="WZC219" s="107"/>
      <c r="WZD219" s="106"/>
      <c r="WZZ219" s="105"/>
      <c r="XAA219" s="105"/>
      <c r="XAB219" s="107"/>
      <c r="XAC219" s="107"/>
      <c r="XAD219" s="106"/>
      <c r="XBA219" s="105"/>
      <c r="XBB219" s="107"/>
      <c r="XBC219" s="107"/>
      <c r="XBD219" s="106"/>
      <c r="XCB219" s="107"/>
      <c r="XCC219" s="107"/>
      <c r="XCD219" s="106"/>
      <c r="XDC219" s="107"/>
      <c r="XDD219" s="106"/>
      <c r="XED219" s="106"/>
    </row>
    <row r="220" s="95" customFormat="1" customHeight="1" spans="1:44">
      <c r="A220" s="95">
        <v>216</v>
      </c>
      <c r="B220" s="103">
        <v>2</v>
      </c>
      <c r="C220" s="104" t="s">
        <v>31</v>
      </c>
      <c r="D220" s="104" t="s">
        <v>20</v>
      </c>
      <c r="E220" s="103" t="s">
        <v>414</v>
      </c>
      <c r="F220" s="106" t="s">
        <v>71</v>
      </c>
      <c r="G220" s="103"/>
      <c r="H220" s="105">
        <f>SUMIFS([1]报表!$U:$U,[1]报表!$H:$H,F:F)</f>
        <v>16</v>
      </c>
      <c r="I220" s="105" t="s">
        <v>60</v>
      </c>
      <c r="J220" s="105"/>
      <c r="K220" s="105"/>
      <c r="L220" s="103" t="str">
        <f>L219</f>
        <v>磨抛</v>
      </c>
      <c r="M220" s="104" t="s">
        <v>599</v>
      </c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</row>
    <row r="221" s="95" customFormat="1" customHeight="1" spans="1:44">
      <c r="A221" s="95">
        <v>217</v>
      </c>
      <c r="B221" s="103">
        <v>3</v>
      </c>
      <c r="C221" s="104" t="s">
        <v>31</v>
      </c>
      <c r="D221" s="104" t="s">
        <v>20</v>
      </c>
      <c r="E221" s="104" t="s">
        <v>414</v>
      </c>
      <c r="F221" s="107" t="s">
        <v>72</v>
      </c>
      <c r="G221" s="104"/>
      <c r="H221" s="105">
        <f>SUMIFS([1]报表!$U:$U,[1]报表!$H:$H,F:F)</f>
        <v>6528</v>
      </c>
      <c r="I221" s="105" t="s">
        <v>60</v>
      </c>
      <c r="J221" s="105"/>
      <c r="K221" s="105"/>
      <c r="L221" s="104" t="s">
        <v>597</v>
      </c>
      <c r="M221" s="104" t="s">
        <v>598</v>
      </c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 t="s">
        <v>642</v>
      </c>
      <c r="AA221" s="103"/>
      <c r="AB221" s="10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</row>
    <row r="222" s="95" customFormat="1" customHeight="1" spans="1:44">
      <c r="A222" s="95">
        <v>218</v>
      </c>
      <c r="B222" s="103">
        <v>3</v>
      </c>
      <c r="C222" s="104" t="s">
        <v>31</v>
      </c>
      <c r="D222" s="104" t="s">
        <v>20</v>
      </c>
      <c r="E222" s="115" t="s">
        <v>414</v>
      </c>
      <c r="F222" s="109" t="s">
        <v>72</v>
      </c>
      <c r="G222" s="116"/>
      <c r="H222" s="105">
        <f>SUMIFS([1]报表!$U:$U,[1]报表!$H:$H,F:F)</f>
        <v>6528</v>
      </c>
      <c r="I222" s="105" t="s">
        <v>60</v>
      </c>
      <c r="J222" s="105"/>
      <c r="K222" s="105"/>
      <c r="L222" s="104" t="str">
        <f>L221</f>
        <v>压铸</v>
      </c>
      <c r="M222" s="104" t="s">
        <v>599</v>
      </c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</row>
    <row r="223" s="95" customFormat="1" customHeight="1" spans="1:44">
      <c r="A223" s="95">
        <v>219</v>
      </c>
      <c r="B223" s="103">
        <v>3</v>
      </c>
      <c r="C223" s="104" t="s">
        <v>31</v>
      </c>
      <c r="D223" s="104" t="s">
        <v>20</v>
      </c>
      <c r="E223" s="115" t="s">
        <v>414</v>
      </c>
      <c r="F223" s="109" t="s">
        <v>72</v>
      </c>
      <c r="G223" s="116"/>
      <c r="H223" s="105">
        <f>SUMIFS([1]报表!$U:$U,[1]报表!$H:$H,F:F)</f>
        <v>6528</v>
      </c>
      <c r="I223" s="105" t="s">
        <v>60</v>
      </c>
      <c r="J223" s="105"/>
      <c r="K223" s="105"/>
      <c r="L223" s="104" t="s">
        <v>600</v>
      </c>
      <c r="M223" s="104" t="s">
        <v>598</v>
      </c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13"/>
      <c r="AD223" s="113"/>
      <c r="AE223" s="11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13"/>
    </row>
    <row r="224" s="95" customFormat="1" customHeight="1" spans="1:44">
      <c r="A224" s="95">
        <v>220</v>
      </c>
      <c r="B224" s="103">
        <v>3</v>
      </c>
      <c r="C224" s="104" t="s">
        <v>31</v>
      </c>
      <c r="D224" s="104" t="s">
        <v>20</v>
      </c>
      <c r="E224" s="115" t="s">
        <v>414</v>
      </c>
      <c r="F224" s="109" t="s">
        <v>72</v>
      </c>
      <c r="G224" s="116"/>
      <c r="H224" s="105">
        <f>SUMIFS([1]报表!$U:$U,[1]报表!$H:$H,F:F)</f>
        <v>6528</v>
      </c>
      <c r="I224" s="105" t="s">
        <v>60</v>
      </c>
      <c r="J224" s="105"/>
      <c r="K224" s="105"/>
      <c r="L224" s="104" t="str">
        <f>L223</f>
        <v>机加</v>
      </c>
      <c r="M224" s="104" t="s">
        <v>599</v>
      </c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13"/>
      <c r="AD224" s="113"/>
      <c r="AE224" s="11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13"/>
    </row>
    <row r="225" s="96" customFormat="1" customHeight="1" spans="1:16358">
      <c r="A225" s="106">
        <v>221</v>
      </c>
      <c r="B225" s="96">
        <v>3</v>
      </c>
      <c r="C225" s="96" t="s">
        <v>31</v>
      </c>
      <c r="D225" s="96" t="s">
        <v>20</v>
      </c>
      <c r="E225" s="96" t="s">
        <v>414</v>
      </c>
      <c r="F225" s="97" t="s">
        <v>72</v>
      </c>
      <c r="H225" s="105">
        <f>SUMIFS([1]报表!$U:$U,[1]报表!$H:$H,F:F)</f>
        <v>6528</v>
      </c>
      <c r="I225" s="96" t="s">
        <v>60</v>
      </c>
      <c r="L225" s="96" t="s">
        <v>601</v>
      </c>
      <c r="M225" s="96" t="s">
        <v>598</v>
      </c>
      <c r="WRR225" s="106"/>
      <c r="WRS225" s="107"/>
      <c r="WRT225" s="107"/>
      <c r="WRU225" s="105"/>
      <c r="WRV225" s="105"/>
      <c r="WRW225" s="105"/>
      <c r="WRX225" s="107"/>
      <c r="WRY225" s="105"/>
      <c r="WRZ225" s="105"/>
      <c r="WSA225" s="105"/>
      <c r="WSB225" s="107"/>
      <c r="WSC225" s="107"/>
      <c r="WSD225" s="106"/>
      <c r="WSE225" s="106"/>
      <c r="WSF225" s="106"/>
      <c r="WSG225" s="106"/>
      <c r="WSH225" s="106"/>
      <c r="WSS225" s="107"/>
      <c r="WST225" s="107"/>
      <c r="WSU225" s="105"/>
      <c r="WSV225" s="105"/>
      <c r="WSW225" s="105"/>
      <c r="WSX225" s="107"/>
      <c r="WSY225" s="105"/>
      <c r="WSZ225" s="105"/>
      <c r="WTA225" s="105"/>
      <c r="WTB225" s="107"/>
      <c r="WTC225" s="107"/>
      <c r="WTD225" s="106"/>
      <c r="WTT225" s="107"/>
      <c r="WTU225" s="105"/>
      <c r="WTV225" s="105"/>
      <c r="WTW225" s="105"/>
      <c r="WTX225" s="107"/>
      <c r="WTY225" s="105"/>
      <c r="WTZ225" s="105"/>
      <c r="WUA225" s="105"/>
      <c r="WUB225" s="107"/>
      <c r="WUC225" s="107"/>
      <c r="WUD225" s="106"/>
      <c r="WUU225" s="105"/>
      <c r="WUV225" s="105"/>
      <c r="WUW225" s="105"/>
      <c r="WUX225" s="107"/>
      <c r="WUY225" s="105"/>
      <c r="WUZ225" s="105"/>
      <c r="WVA225" s="105"/>
      <c r="WVB225" s="107"/>
      <c r="WVC225" s="107"/>
      <c r="WVD225" s="106"/>
      <c r="WVV225" s="105"/>
      <c r="WVW225" s="105"/>
      <c r="WVX225" s="107"/>
      <c r="WVY225" s="105"/>
      <c r="WVZ225" s="105"/>
      <c r="WWA225" s="105"/>
      <c r="WWB225" s="107"/>
      <c r="WWC225" s="107"/>
      <c r="WWD225" s="106"/>
      <c r="WWW225" s="105"/>
      <c r="WWX225" s="107"/>
      <c r="WWY225" s="105"/>
      <c r="WWZ225" s="105"/>
      <c r="WXA225" s="105"/>
      <c r="WXB225" s="107"/>
      <c r="WXC225" s="107"/>
      <c r="WXD225" s="106"/>
      <c r="WXX225" s="107"/>
      <c r="WXY225" s="105"/>
      <c r="WXZ225" s="105"/>
      <c r="WYA225" s="105"/>
      <c r="WYB225" s="107"/>
      <c r="WYC225" s="107"/>
      <c r="WYD225" s="106"/>
      <c r="WYY225" s="105"/>
      <c r="WYZ225" s="105"/>
      <c r="WZA225" s="105"/>
      <c r="WZB225" s="107"/>
      <c r="WZC225" s="107"/>
      <c r="WZD225" s="106"/>
      <c r="WZZ225" s="105"/>
      <c r="XAA225" s="105"/>
      <c r="XAB225" s="107"/>
      <c r="XAC225" s="107"/>
      <c r="XAD225" s="106"/>
      <c r="XBA225" s="105"/>
      <c r="XBB225" s="107"/>
      <c r="XBC225" s="107"/>
      <c r="XBD225" s="106"/>
      <c r="XCB225" s="107"/>
      <c r="XCC225" s="107"/>
      <c r="XCD225" s="106"/>
      <c r="XDC225" s="107"/>
      <c r="XDD225" s="106"/>
      <c r="XED225" s="106"/>
    </row>
    <row r="226" s="95" customFormat="1" customHeight="1" spans="1:44">
      <c r="A226" s="95">
        <v>222</v>
      </c>
      <c r="B226" s="103">
        <v>3</v>
      </c>
      <c r="C226" s="104" t="s">
        <v>31</v>
      </c>
      <c r="D226" s="104" t="s">
        <v>20</v>
      </c>
      <c r="E226" s="103" t="s">
        <v>414</v>
      </c>
      <c r="F226" s="106" t="s">
        <v>72</v>
      </c>
      <c r="G226" s="103"/>
      <c r="H226" s="105">
        <f>SUMIFS([1]报表!$U:$U,[1]报表!$H:$H,F:F)</f>
        <v>6528</v>
      </c>
      <c r="I226" s="105" t="s">
        <v>60</v>
      </c>
      <c r="J226" s="105"/>
      <c r="K226" s="105"/>
      <c r="L226" s="103" t="str">
        <f>L225</f>
        <v>磨抛</v>
      </c>
      <c r="M226" s="104" t="s">
        <v>599</v>
      </c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</row>
    <row r="227" s="95" customFormat="1" customHeight="1" spans="1:44">
      <c r="A227" s="95">
        <v>223</v>
      </c>
      <c r="B227" s="103">
        <v>1</v>
      </c>
      <c r="C227" s="104" t="s">
        <v>50</v>
      </c>
      <c r="D227" s="104" t="s">
        <v>20</v>
      </c>
      <c r="E227" s="104" t="s">
        <v>414</v>
      </c>
      <c r="F227" s="107" t="s">
        <v>643</v>
      </c>
      <c r="G227" s="104"/>
      <c r="H227" s="105">
        <f>SUMIFS([1]报表!$U:$U,[1]报表!$H:$H,F:F)</f>
        <v>0</v>
      </c>
      <c r="I227" s="105" t="s">
        <v>60</v>
      </c>
      <c r="J227" s="105"/>
      <c r="K227" s="105"/>
      <c r="L227" s="104" t="s">
        <v>597</v>
      </c>
      <c r="M227" s="104" t="s">
        <v>598</v>
      </c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</row>
    <row r="228" s="95" customFormat="1" customHeight="1" spans="1:44">
      <c r="A228" s="95">
        <v>224</v>
      </c>
      <c r="B228" s="103">
        <v>1</v>
      </c>
      <c r="C228" s="104" t="s">
        <v>50</v>
      </c>
      <c r="D228" s="104" t="s">
        <v>20</v>
      </c>
      <c r="E228" s="115" t="s">
        <v>414</v>
      </c>
      <c r="F228" s="109" t="s">
        <v>643</v>
      </c>
      <c r="G228" s="116"/>
      <c r="H228" s="105">
        <f>SUMIFS([1]报表!$U:$U,[1]报表!$H:$H,F:F)</f>
        <v>0</v>
      </c>
      <c r="I228" s="105" t="s">
        <v>60</v>
      </c>
      <c r="J228" s="105"/>
      <c r="K228" s="105"/>
      <c r="L228" s="104" t="str">
        <f>L227</f>
        <v>压铸</v>
      </c>
      <c r="M228" s="104" t="s">
        <v>599</v>
      </c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</row>
    <row r="229" s="95" customFormat="1" customHeight="1" spans="1:44">
      <c r="A229" s="95">
        <v>225</v>
      </c>
      <c r="B229" s="103">
        <v>1</v>
      </c>
      <c r="C229" s="104" t="s">
        <v>50</v>
      </c>
      <c r="D229" s="104" t="s">
        <v>20</v>
      </c>
      <c r="E229" s="115" t="s">
        <v>414</v>
      </c>
      <c r="F229" s="109" t="s">
        <v>643</v>
      </c>
      <c r="G229" s="116"/>
      <c r="H229" s="105">
        <f>SUMIFS([1]报表!$U:$U,[1]报表!$H:$H,F:F)</f>
        <v>0</v>
      </c>
      <c r="I229" s="105" t="s">
        <v>60</v>
      </c>
      <c r="J229" s="105"/>
      <c r="K229" s="105"/>
      <c r="L229" s="104" t="s">
        <v>600</v>
      </c>
      <c r="M229" s="104" t="s">
        <v>598</v>
      </c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13"/>
      <c r="AD229" s="113"/>
      <c r="AE229" s="11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13"/>
    </row>
    <row r="230" s="95" customFormat="1" customHeight="1" spans="1:44">
      <c r="A230" s="95">
        <v>226</v>
      </c>
      <c r="B230" s="103">
        <v>1</v>
      </c>
      <c r="C230" s="104" t="s">
        <v>50</v>
      </c>
      <c r="D230" s="104" t="s">
        <v>20</v>
      </c>
      <c r="E230" s="115" t="s">
        <v>414</v>
      </c>
      <c r="F230" s="109" t="s">
        <v>643</v>
      </c>
      <c r="G230" s="116"/>
      <c r="H230" s="105">
        <f>SUMIFS([1]报表!$U:$U,[1]报表!$H:$H,F:F)</f>
        <v>0</v>
      </c>
      <c r="I230" s="105" t="s">
        <v>60</v>
      </c>
      <c r="J230" s="105"/>
      <c r="K230" s="105"/>
      <c r="L230" s="104" t="str">
        <f>L229</f>
        <v>机加</v>
      </c>
      <c r="M230" s="104" t="s">
        <v>599</v>
      </c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13"/>
      <c r="AD230" s="113"/>
      <c r="AE230" s="11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13"/>
    </row>
    <row r="231" s="96" customFormat="1" customHeight="1" spans="1:16358">
      <c r="A231" s="106">
        <v>227</v>
      </c>
      <c r="B231" s="96">
        <v>1</v>
      </c>
      <c r="C231" s="96" t="s">
        <v>50</v>
      </c>
      <c r="D231" s="96" t="s">
        <v>20</v>
      </c>
      <c r="E231" s="96" t="s">
        <v>414</v>
      </c>
      <c r="F231" s="97" t="s">
        <v>643</v>
      </c>
      <c r="H231" s="105">
        <f>SUMIFS([1]报表!$U:$U,[1]报表!$H:$H,F:F)</f>
        <v>0</v>
      </c>
      <c r="I231" s="96" t="s">
        <v>60</v>
      </c>
      <c r="L231" s="96" t="s">
        <v>601</v>
      </c>
      <c r="M231" s="96" t="s">
        <v>598</v>
      </c>
      <c r="WRR231" s="106"/>
      <c r="WRS231" s="107"/>
      <c r="WRT231" s="107"/>
      <c r="WRU231" s="105"/>
      <c r="WRV231" s="105"/>
      <c r="WRW231" s="105"/>
      <c r="WRX231" s="107"/>
      <c r="WRY231" s="105"/>
      <c r="WRZ231" s="105"/>
      <c r="WSA231" s="105"/>
      <c r="WSB231" s="107"/>
      <c r="WSC231" s="107"/>
      <c r="WSD231" s="106"/>
      <c r="WSE231" s="106"/>
      <c r="WSF231" s="106"/>
      <c r="WSG231" s="106"/>
      <c r="WSH231" s="106"/>
      <c r="WSS231" s="107"/>
      <c r="WST231" s="107"/>
      <c r="WSU231" s="105"/>
      <c r="WSV231" s="105"/>
      <c r="WSW231" s="105"/>
      <c r="WSX231" s="107"/>
      <c r="WSY231" s="105"/>
      <c r="WSZ231" s="105"/>
      <c r="WTA231" s="105"/>
      <c r="WTB231" s="107"/>
      <c r="WTC231" s="107"/>
      <c r="WTD231" s="106"/>
      <c r="WTT231" s="107"/>
      <c r="WTU231" s="105"/>
      <c r="WTV231" s="105"/>
      <c r="WTW231" s="105"/>
      <c r="WTX231" s="107"/>
      <c r="WTY231" s="105"/>
      <c r="WTZ231" s="105"/>
      <c r="WUA231" s="105"/>
      <c r="WUB231" s="107"/>
      <c r="WUC231" s="107"/>
      <c r="WUD231" s="106"/>
      <c r="WUU231" s="105"/>
      <c r="WUV231" s="105"/>
      <c r="WUW231" s="105"/>
      <c r="WUX231" s="107"/>
      <c r="WUY231" s="105"/>
      <c r="WUZ231" s="105"/>
      <c r="WVA231" s="105"/>
      <c r="WVB231" s="107"/>
      <c r="WVC231" s="107"/>
      <c r="WVD231" s="106"/>
      <c r="WVV231" s="105"/>
      <c r="WVW231" s="105"/>
      <c r="WVX231" s="107"/>
      <c r="WVY231" s="105"/>
      <c r="WVZ231" s="105"/>
      <c r="WWA231" s="105"/>
      <c r="WWB231" s="107"/>
      <c r="WWC231" s="107"/>
      <c r="WWD231" s="106"/>
      <c r="WWW231" s="105"/>
      <c r="WWX231" s="107"/>
      <c r="WWY231" s="105"/>
      <c r="WWZ231" s="105"/>
      <c r="WXA231" s="105"/>
      <c r="WXB231" s="107"/>
      <c r="WXC231" s="107"/>
      <c r="WXD231" s="106"/>
      <c r="WXX231" s="107"/>
      <c r="WXY231" s="105"/>
      <c r="WXZ231" s="105"/>
      <c r="WYA231" s="105"/>
      <c r="WYB231" s="107"/>
      <c r="WYC231" s="107"/>
      <c r="WYD231" s="106"/>
      <c r="WYY231" s="105"/>
      <c r="WYZ231" s="105"/>
      <c r="WZA231" s="105"/>
      <c r="WZB231" s="107"/>
      <c r="WZC231" s="107"/>
      <c r="WZD231" s="106"/>
      <c r="WZZ231" s="105"/>
      <c r="XAA231" s="105"/>
      <c r="XAB231" s="107"/>
      <c r="XAC231" s="107"/>
      <c r="XAD231" s="106"/>
      <c r="XBA231" s="105"/>
      <c r="XBB231" s="107"/>
      <c r="XBC231" s="107"/>
      <c r="XBD231" s="106"/>
      <c r="XCB231" s="107"/>
      <c r="XCC231" s="107"/>
      <c r="XCD231" s="106"/>
      <c r="XDC231" s="107"/>
      <c r="XDD231" s="106"/>
      <c r="XED231" s="106"/>
    </row>
    <row r="232" s="95" customFormat="1" customHeight="1" spans="1:44">
      <c r="A232" s="95">
        <v>228</v>
      </c>
      <c r="B232" s="103">
        <v>1</v>
      </c>
      <c r="C232" s="104" t="s">
        <v>50</v>
      </c>
      <c r="D232" s="104" t="s">
        <v>20</v>
      </c>
      <c r="E232" s="103" t="s">
        <v>414</v>
      </c>
      <c r="F232" s="106" t="s">
        <v>643</v>
      </c>
      <c r="G232" s="103"/>
      <c r="H232" s="105">
        <f>SUMIFS([1]报表!$U:$U,[1]报表!$H:$H,F:F)</f>
        <v>0</v>
      </c>
      <c r="I232" s="105" t="s">
        <v>60</v>
      </c>
      <c r="J232" s="105"/>
      <c r="K232" s="105"/>
      <c r="L232" s="103" t="str">
        <f>L231</f>
        <v>磨抛</v>
      </c>
      <c r="M232" s="104" t="s">
        <v>599</v>
      </c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</row>
    <row r="233" s="95" customFormat="1" customHeight="1" spans="1:44">
      <c r="A233" s="95">
        <v>229</v>
      </c>
      <c r="B233" s="103">
        <v>1</v>
      </c>
      <c r="C233" s="104" t="s">
        <v>56</v>
      </c>
      <c r="D233" s="104" t="s">
        <v>20</v>
      </c>
      <c r="E233" s="104" t="s">
        <v>414</v>
      </c>
      <c r="F233" s="107" t="s">
        <v>643</v>
      </c>
      <c r="G233" s="104"/>
      <c r="H233" s="105">
        <f>SUMIFS([1]报表!$U:$U,[1]报表!$H:$H,F:F)</f>
        <v>0</v>
      </c>
      <c r="I233" s="105" t="s">
        <v>60</v>
      </c>
      <c r="J233" s="105"/>
      <c r="K233" s="105"/>
      <c r="L233" s="104" t="s">
        <v>597</v>
      </c>
      <c r="M233" s="104" t="s">
        <v>598</v>
      </c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</row>
    <row r="234" s="95" customFormat="1" customHeight="1" spans="1:44">
      <c r="A234" s="95">
        <v>230</v>
      </c>
      <c r="B234" s="103">
        <v>1</v>
      </c>
      <c r="C234" s="104" t="s">
        <v>56</v>
      </c>
      <c r="D234" s="104" t="s">
        <v>20</v>
      </c>
      <c r="E234" s="115" t="s">
        <v>414</v>
      </c>
      <c r="F234" s="109" t="s">
        <v>643</v>
      </c>
      <c r="G234" s="116"/>
      <c r="H234" s="105">
        <f>SUMIFS([1]报表!$U:$U,[1]报表!$H:$H,F:F)</f>
        <v>0</v>
      </c>
      <c r="I234" s="105" t="s">
        <v>60</v>
      </c>
      <c r="J234" s="105"/>
      <c r="K234" s="105"/>
      <c r="L234" s="104" t="str">
        <f>L233</f>
        <v>压铸</v>
      </c>
      <c r="M234" s="104" t="s">
        <v>599</v>
      </c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</row>
    <row r="235" s="95" customFormat="1" customHeight="1" spans="1:44">
      <c r="A235" s="95">
        <v>231</v>
      </c>
      <c r="B235" s="103">
        <v>1</v>
      </c>
      <c r="C235" s="104" t="s">
        <v>56</v>
      </c>
      <c r="D235" s="104" t="s">
        <v>20</v>
      </c>
      <c r="E235" s="115" t="s">
        <v>414</v>
      </c>
      <c r="F235" s="109" t="s">
        <v>643</v>
      </c>
      <c r="G235" s="116"/>
      <c r="H235" s="105">
        <f>SUMIFS([1]报表!$U:$U,[1]报表!$H:$H,F:F)</f>
        <v>0</v>
      </c>
      <c r="I235" s="105" t="s">
        <v>60</v>
      </c>
      <c r="J235" s="105"/>
      <c r="K235" s="105"/>
      <c r="L235" s="104" t="s">
        <v>600</v>
      </c>
      <c r="M235" s="104" t="s">
        <v>598</v>
      </c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13"/>
      <c r="AD235" s="113"/>
      <c r="AE235" s="11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13"/>
    </row>
    <row r="236" s="95" customFormat="1" customHeight="1" spans="1:44">
      <c r="A236" s="95">
        <v>232</v>
      </c>
      <c r="B236" s="103">
        <v>1</v>
      </c>
      <c r="C236" s="104" t="s">
        <v>56</v>
      </c>
      <c r="D236" s="104" t="s">
        <v>20</v>
      </c>
      <c r="E236" s="115" t="s">
        <v>414</v>
      </c>
      <c r="F236" s="109" t="s">
        <v>643</v>
      </c>
      <c r="G236" s="116"/>
      <c r="H236" s="105">
        <f>SUMIFS([1]报表!$U:$U,[1]报表!$H:$H,F:F)</f>
        <v>0</v>
      </c>
      <c r="I236" s="105" t="s">
        <v>60</v>
      </c>
      <c r="J236" s="105"/>
      <c r="K236" s="105"/>
      <c r="L236" s="104" t="str">
        <f>L235</f>
        <v>机加</v>
      </c>
      <c r="M236" s="104" t="s">
        <v>599</v>
      </c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13"/>
      <c r="AD236" s="113"/>
      <c r="AE236" s="11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13"/>
    </row>
    <row r="237" s="96" customFormat="1" customHeight="1" spans="1:16358">
      <c r="A237" s="106">
        <v>233</v>
      </c>
      <c r="B237" s="96">
        <v>1</v>
      </c>
      <c r="C237" s="96" t="s">
        <v>56</v>
      </c>
      <c r="D237" s="96" t="s">
        <v>20</v>
      </c>
      <c r="E237" s="96" t="s">
        <v>414</v>
      </c>
      <c r="F237" s="97" t="s">
        <v>643</v>
      </c>
      <c r="H237" s="105">
        <f>SUMIFS([1]报表!$U:$U,[1]报表!$H:$H,F:F)</f>
        <v>0</v>
      </c>
      <c r="I237" s="96" t="s">
        <v>60</v>
      </c>
      <c r="L237" s="96" t="s">
        <v>601</v>
      </c>
      <c r="M237" s="96" t="s">
        <v>598</v>
      </c>
      <c r="WRR237" s="106"/>
      <c r="WRS237" s="107"/>
      <c r="WRT237" s="107"/>
      <c r="WRU237" s="105"/>
      <c r="WRV237" s="105"/>
      <c r="WRW237" s="105"/>
      <c r="WRX237" s="107"/>
      <c r="WRY237" s="105"/>
      <c r="WRZ237" s="105"/>
      <c r="WSA237" s="105"/>
      <c r="WSB237" s="107"/>
      <c r="WSC237" s="107"/>
      <c r="WSD237" s="106"/>
      <c r="WSE237" s="106"/>
      <c r="WSF237" s="106"/>
      <c r="WSG237" s="106"/>
      <c r="WSH237" s="106"/>
      <c r="WSS237" s="107"/>
      <c r="WST237" s="107"/>
      <c r="WSU237" s="105"/>
      <c r="WSV237" s="105"/>
      <c r="WSW237" s="105"/>
      <c r="WSX237" s="107"/>
      <c r="WSY237" s="105"/>
      <c r="WSZ237" s="105"/>
      <c r="WTA237" s="105"/>
      <c r="WTB237" s="107"/>
      <c r="WTC237" s="107"/>
      <c r="WTD237" s="106"/>
      <c r="WTT237" s="107"/>
      <c r="WTU237" s="105"/>
      <c r="WTV237" s="105"/>
      <c r="WTW237" s="105"/>
      <c r="WTX237" s="107"/>
      <c r="WTY237" s="105"/>
      <c r="WTZ237" s="105"/>
      <c r="WUA237" s="105"/>
      <c r="WUB237" s="107"/>
      <c r="WUC237" s="107"/>
      <c r="WUD237" s="106"/>
      <c r="WUU237" s="105"/>
      <c r="WUV237" s="105"/>
      <c r="WUW237" s="105"/>
      <c r="WUX237" s="107"/>
      <c r="WUY237" s="105"/>
      <c r="WUZ237" s="105"/>
      <c r="WVA237" s="105"/>
      <c r="WVB237" s="107"/>
      <c r="WVC237" s="107"/>
      <c r="WVD237" s="106"/>
      <c r="WVV237" s="105"/>
      <c r="WVW237" s="105"/>
      <c r="WVX237" s="107"/>
      <c r="WVY237" s="105"/>
      <c r="WVZ237" s="105"/>
      <c r="WWA237" s="105"/>
      <c r="WWB237" s="107"/>
      <c r="WWC237" s="107"/>
      <c r="WWD237" s="106"/>
      <c r="WWW237" s="105"/>
      <c r="WWX237" s="107"/>
      <c r="WWY237" s="105"/>
      <c r="WWZ237" s="105"/>
      <c r="WXA237" s="105"/>
      <c r="WXB237" s="107"/>
      <c r="WXC237" s="107"/>
      <c r="WXD237" s="106"/>
      <c r="WXX237" s="107"/>
      <c r="WXY237" s="105"/>
      <c r="WXZ237" s="105"/>
      <c r="WYA237" s="105"/>
      <c r="WYB237" s="107"/>
      <c r="WYC237" s="107"/>
      <c r="WYD237" s="106"/>
      <c r="WYY237" s="105"/>
      <c r="WYZ237" s="105"/>
      <c r="WZA237" s="105"/>
      <c r="WZB237" s="107"/>
      <c r="WZC237" s="107"/>
      <c r="WZD237" s="106"/>
      <c r="WZZ237" s="105"/>
      <c r="XAA237" s="105"/>
      <c r="XAB237" s="107"/>
      <c r="XAC237" s="107"/>
      <c r="XAD237" s="106"/>
      <c r="XBA237" s="105"/>
      <c r="XBB237" s="107"/>
      <c r="XBC237" s="107"/>
      <c r="XBD237" s="106"/>
      <c r="XCB237" s="107"/>
      <c r="XCC237" s="107"/>
      <c r="XCD237" s="106"/>
      <c r="XDC237" s="107"/>
      <c r="XDD237" s="106"/>
      <c r="XED237" s="106"/>
    </row>
    <row r="238" s="95" customFormat="1" customHeight="1" spans="1:44">
      <c r="A238" s="95">
        <v>234</v>
      </c>
      <c r="B238" s="103">
        <v>1</v>
      </c>
      <c r="C238" s="104" t="s">
        <v>56</v>
      </c>
      <c r="D238" s="104" t="s">
        <v>20</v>
      </c>
      <c r="E238" s="103" t="s">
        <v>414</v>
      </c>
      <c r="F238" s="106" t="s">
        <v>643</v>
      </c>
      <c r="G238" s="103"/>
      <c r="H238" s="105">
        <f>SUMIFS([1]报表!$U:$U,[1]报表!$H:$H,F:F)</f>
        <v>0</v>
      </c>
      <c r="I238" s="105" t="s">
        <v>60</v>
      </c>
      <c r="J238" s="105"/>
      <c r="K238" s="105"/>
      <c r="L238" s="103" t="str">
        <f>L237</f>
        <v>磨抛</v>
      </c>
      <c r="M238" s="104" t="s">
        <v>599</v>
      </c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</row>
  </sheetData>
  <autoFilter ref="A2:AT238">
    <extLst/>
  </autoFilter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F26" sqref="F26"/>
    </sheetView>
  </sheetViews>
  <sheetFormatPr defaultColWidth="9" defaultRowHeight="19.65" customHeight="1" outlineLevelCol="6"/>
  <cols>
    <col min="2" max="2" width="14.4416666666667" customWidth="1"/>
    <col min="3" max="3" width="14.3333333333333" customWidth="1"/>
    <col min="4" max="4" width="22.6666666666667" customWidth="1"/>
    <col min="5" max="5" width="23.8833333333333" customWidth="1"/>
    <col min="6" max="6" width="41.1083333333333" customWidth="1"/>
    <col min="7" max="7" width="22" customWidth="1"/>
  </cols>
  <sheetData>
    <row r="1" customHeight="1" spans="1:1">
      <c r="A1" s="6" t="s">
        <v>14</v>
      </c>
    </row>
    <row r="2" ht="19.8" customHeight="1" spans="1:7">
      <c r="A2" s="92" t="s">
        <v>285</v>
      </c>
      <c r="B2" s="92" t="s">
        <v>360</v>
      </c>
      <c r="C2" s="92" t="s">
        <v>15</v>
      </c>
      <c r="D2" s="92" t="s">
        <v>644</v>
      </c>
      <c r="E2" s="92" t="s">
        <v>645</v>
      </c>
      <c r="F2" s="92" t="s">
        <v>646</v>
      </c>
      <c r="G2" s="92" t="s">
        <v>647</v>
      </c>
    </row>
    <row r="3" ht="27" hidden="1" spans="1:7">
      <c r="A3" s="92">
        <v>1</v>
      </c>
      <c r="B3" s="92" t="s">
        <v>20</v>
      </c>
      <c r="C3" s="92" t="s">
        <v>19</v>
      </c>
      <c r="D3" s="92"/>
      <c r="E3" s="92"/>
      <c r="F3" s="93" t="s">
        <v>648</v>
      </c>
      <c r="G3" s="92"/>
    </row>
    <row r="4" ht="19.8" hidden="1" customHeight="1" spans="1:7">
      <c r="A4" s="92">
        <v>2</v>
      </c>
      <c r="B4" s="92" t="s">
        <v>20</v>
      </c>
      <c r="C4" s="92" t="s">
        <v>24</v>
      </c>
      <c r="D4" s="92"/>
      <c r="E4" s="92"/>
      <c r="F4" s="92" t="s">
        <v>649</v>
      </c>
      <c r="G4" s="92"/>
    </row>
    <row r="5" ht="19.8" hidden="1" customHeight="1" spans="1:7">
      <c r="A5" s="92">
        <v>3</v>
      </c>
      <c r="B5" s="92" t="s">
        <v>20</v>
      </c>
      <c r="C5" s="92" t="s">
        <v>56</v>
      </c>
      <c r="D5" s="92"/>
      <c r="E5" s="92"/>
      <c r="F5" s="92" t="s">
        <v>650</v>
      </c>
      <c r="G5" s="92"/>
    </row>
    <row r="6" ht="27" hidden="1" spans="1:7">
      <c r="A6" s="92">
        <v>4</v>
      </c>
      <c r="B6" s="92" t="s">
        <v>20</v>
      </c>
      <c r="C6" s="92" t="s">
        <v>31</v>
      </c>
      <c r="D6" s="92"/>
      <c r="E6" s="92"/>
      <c r="F6" s="93" t="s">
        <v>651</v>
      </c>
      <c r="G6" s="92"/>
    </row>
    <row r="7" ht="27" hidden="1" spans="1:7">
      <c r="A7" s="92">
        <v>5</v>
      </c>
      <c r="B7" s="92" t="s">
        <v>652</v>
      </c>
      <c r="C7" s="92" t="s">
        <v>19</v>
      </c>
      <c r="D7" s="92"/>
      <c r="E7" s="92"/>
      <c r="F7" s="93" t="s">
        <v>653</v>
      </c>
      <c r="G7" s="92"/>
    </row>
    <row r="8" ht="19.8" hidden="1" customHeight="1" spans="1:7">
      <c r="A8" s="92">
        <v>6</v>
      </c>
      <c r="B8" s="92" t="s">
        <v>652</v>
      </c>
      <c r="C8" s="92" t="s">
        <v>24</v>
      </c>
      <c r="D8" s="92"/>
      <c r="E8" s="92"/>
      <c r="F8" s="92" t="s">
        <v>654</v>
      </c>
      <c r="G8" s="92"/>
    </row>
    <row r="9" ht="19.8" hidden="1" customHeight="1" spans="1:7">
      <c r="A9" s="92">
        <v>7</v>
      </c>
      <c r="B9" s="92" t="s">
        <v>20</v>
      </c>
      <c r="C9" s="92" t="s">
        <v>19</v>
      </c>
      <c r="D9" s="92"/>
      <c r="E9" s="92"/>
      <c r="F9" s="92" t="s">
        <v>655</v>
      </c>
      <c r="G9" s="92"/>
    </row>
    <row r="10" ht="19.8" customHeight="1" spans="1:7">
      <c r="A10" s="92">
        <v>8</v>
      </c>
      <c r="B10" s="92" t="s">
        <v>27</v>
      </c>
      <c r="C10" s="92" t="s">
        <v>26</v>
      </c>
      <c r="D10" s="92"/>
      <c r="E10" s="92"/>
      <c r="F10" s="92" t="s">
        <v>656</v>
      </c>
      <c r="G10" s="92"/>
    </row>
    <row r="11" ht="19.8" customHeight="1" spans="1:7">
      <c r="A11" s="92">
        <v>9</v>
      </c>
      <c r="B11" s="92"/>
      <c r="C11" s="92"/>
      <c r="D11" s="92"/>
      <c r="E11" s="92"/>
      <c r="F11" s="92"/>
      <c r="G11" s="92"/>
    </row>
    <row r="12" ht="19.8" customHeight="1" spans="1:7">
      <c r="A12" s="92">
        <v>10</v>
      </c>
      <c r="B12" s="92"/>
      <c r="C12" s="92"/>
      <c r="D12" s="92"/>
      <c r="E12" s="92"/>
      <c r="F12" s="92"/>
      <c r="G12" s="92"/>
    </row>
    <row r="13" ht="19.8" customHeight="1" spans="1:7">
      <c r="A13" s="92">
        <v>11</v>
      </c>
      <c r="B13" s="92"/>
      <c r="C13" s="92"/>
      <c r="D13" s="92"/>
      <c r="E13" s="92"/>
      <c r="F13" s="92"/>
      <c r="G13" s="92"/>
    </row>
    <row r="14" ht="19.8" customHeight="1" spans="1:7">
      <c r="A14" s="92">
        <v>12</v>
      </c>
      <c r="B14" s="92"/>
      <c r="C14" s="92"/>
      <c r="D14" s="92"/>
      <c r="E14" s="92"/>
      <c r="F14" s="92"/>
      <c r="G14" s="92"/>
    </row>
    <row r="15" ht="19.8" customHeight="1" spans="1:7">
      <c r="A15" s="92">
        <v>13</v>
      </c>
      <c r="B15" s="92"/>
      <c r="C15" s="92"/>
      <c r="D15" s="92"/>
      <c r="E15" s="92"/>
      <c r="F15" s="92"/>
      <c r="G15" s="92"/>
    </row>
    <row r="16" ht="19.8" customHeight="1" spans="1:7">
      <c r="A16" s="92">
        <v>14</v>
      </c>
      <c r="B16" s="92"/>
      <c r="C16" s="92"/>
      <c r="D16" s="92"/>
      <c r="E16" s="92"/>
      <c r="F16" s="92"/>
      <c r="G16" s="92"/>
    </row>
    <row r="17" ht="19.8" customHeight="1" spans="6:6">
      <c r="F17" s="94" t="s">
        <v>657</v>
      </c>
    </row>
    <row r="18" customHeight="1" spans="6:6">
      <c r="F18" s="94"/>
    </row>
  </sheetData>
  <hyperlinks>
    <hyperlink ref="A1" location="目录!A1" display="返回"/>
  </hyperlink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49"/>
  <sheetViews>
    <sheetView zoomScale="85" zoomScaleNormal="85" workbookViewId="0">
      <pane ySplit="3" topLeftCell="A4" activePane="bottomLeft" state="frozen"/>
      <selection/>
      <selection pane="bottomLeft" activeCell="N18" sqref="N18"/>
    </sheetView>
  </sheetViews>
  <sheetFormatPr defaultColWidth="9" defaultRowHeight="21.6" customHeight="1"/>
  <cols>
    <col min="1" max="1" width="4.10833333333333" style="54" customWidth="1"/>
    <col min="2" max="2" width="9" style="54" customWidth="1"/>
    <col min="3" max="3" width="8.10833333333333" style="54" hidden="1" customWidth="1"/>
    <col min="4" max="4" width="8.44166666666667" style="54" customWidth="1"/>
    <col min="5" max="6" width="8.21666666666667" style="54" customWidth="1"/>
    <col min="7" max="7" width="9" style="54" customWidth="1"/>
    <col min="8" max="8" width="8.10833333333333" style="54" customWidth="1"/>
    <col min="9" max="9" width="8.66666666666667" style="55" customWidth="1"/>
    <col min="10" max="12" width="8.66666666666667" style="54" customWidth="1"/>
    <col min="13" max="15" width="9" style="55" customWidth="1"/>
    <col min="16" max="21" width="8.21666666666667" style="55" customWidth="1"/>
    <col min="22" max="22" width="12.775" style="55" customWidth="1"/>
    <col min="23" max="23" width="14.2166666666667" style="55" customWidth="1"/>
    <col min="24" max="16384" width="9" style="54"/>
  </cols>
  <sheetData>
    <row r="1" ht="21" customHeight="1" spans="1:23">
      <c r="A1" s="56" t="s">
        <v>658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="51" customFormat="1" ht="25.95" customHeight="1" spans="1:23">
      <c r="A2" s="57" t="s">
        <v>285</v>
      </c>
      <c r="B2" s="57" t="s">
        <v>659</v>
      </c>
      <c r="C2" s="57" t="s">
        <v>175</v>
      </c>
      <c r="D2" s="57" t="s">
        <v>292</v>
      </c>
      <c r="E2" s="57" t="s">
        <v>660</v>
      </c>
      <c r="F2" s="57" t="s">
        <v>661</v>
      </c>
      <c r="G2" s="57" t="s">
        <v>662</v>
      </c>
      <c r="H2" s="57" t="s">
        <v>663</v>
      </c>
      <c r="I2" s="72" t="s">
        <v>664</v>
      </c>
      <c r="J2" s="57" t="s">
        <v>665</v>
      </c>
      <c r="K2" s="57"/>
      <c r="L2" s="57"/>
      <c r="M2" s="72" t="s">
        <v>666</v>
      </c>
      <c r="N2" s="72" t="s">
        <v>667</v>
      </c>
      <c r="O2" s="72" t="s">
        <v>668</v>
      </c>
      <c r="P2" s="73" t="s">
        <v>669</v>
      </c>
      <c r="Q2" s="86"/>
      <c r="R2" s="87"/>
      <c r="S2" s="88" t="s">
        <v>670</v>
      </c>
      <c r="T2" s="86"/>
      <c r="U2" s="87"/>
      <c r="V2" s="89" t="s">
        <v>671</v>
      </c>
      <c r="W2" s="90"/>
    </row>
    <row r="3" ht="14.25" spans="1:23">
      <c r="A3" s="57"/>
      <c r="B3" s="57"/>
      <c r="C3" s="57"/>
      <c r="D3" s="57"/>
      <c r="E3" s="57"/>
      <c r="F3" s="57"/>
      <c r="G3" s="57"/>
      <c r="H3" s="57"/>
      <c r="I3" s="72"/>
      <c r="J3" s="58" t="s">
        <v>672</v>
      </c>
      <c r="K3" s="58" t="s">
        <v>60</v>
      </c>
      <c r="L3" s="58" t="s">
        <v>227</v>
      </c>
      <c r="M3" s="72"/>
      <c r="N3" s="72"/>
      <c r="O3" s="72"/>
      <c r="P3" s="74" t="s">
        <v>60</v>
      </c>
      <c r="Q3" s="74" t="s">
        <v>227</v>
      </c>
      <c r="R3" s="74" t="s">
        <v>389</v>
      </c>
      <c r="S3" s="74" t="s">
        <v>60</v>
      </c>
      <c r="T3" s="74" t="s">
        <v>227</v>
      </c>
      <c r="U3" s="74" t="s">
        <v>389</v>
      </c>
      <c r="V3" s="75" t="s">
        <v>673</v>
      </c>
      <c r="W3" s="91" t="s">
        <v>674</v>
      </c>
    </row>
    <row r="4" ht="22.2" customHeight="1" spans="1:23">
      <c r="A4" s="58">
        <v>1</v>
      </c>
      <c r="B4" s="59" t="s">
        <v>414</v>
      </c>
      <c r="C4" s="58" t="s">
        <v>675</v>
      </c>
      <c r="D4" s="60" t="s">
        <v>52</v>
      </c>
      <c r="E4" s="58">
        <v>2</v>
      </c>
      <c r="F4" s="58">
        <v>2</v>
      </c>
      <c r="G4" s="58">
        <v>2</v>
      </c>
      <c r="H4" s="58">
        <v>2</v>
      </c>
      <c r="I4" s="75">
        <v>79511.2</v>
      </c>
      <c r="J4" s="58">
        <v>5</v>
      </c>
      <c r="K4" s="58">
        <v>20</v>
      </c>
      <c r="L4" s="58">
        <v>20</v>
      </c>
      <c r="M4" s="75">
        <v>0</v>
      </c>
      <c r="N4" s="75">
        <v>1000</v>
      </c>
      <c r="O4" s="75">
        <v>26980</v>
      </c>
      <c r="P4" s="75">
        <v>217360</v>
      </c>
      <c r="Q4" s="75">
        <v>22200</v>
      </c>
      <c r="R4" s="75">
        <v>239560</v>
      </c>
      <c r="S4" s="75">
        <v>217360</v>
      </c>
      <c r="T4" s="75">
        <v>22200</v>
      </c>
      <c r="U4" s="75">
        <v>239560</v>
      </c>
      <c r="V4" s="75">
        <v>216360</v>
      </c>
      <c r="W4" s="75">
        <v>17360</v>
      </c>
    </row>
    <row r="5" ht="22.2" customHeight="1" spans="1:23">
      <c r="A5" s="58">
        <v>2</v>
      </c>
      <c r="B5" s="61"/>
      <c r="C5" s="58"/>
      <c r="D5" s="60" t="s">
        <v>54</v>
      </c>
      <c r="E5" s="58">
        <v>14</v>
      </c>
      <c r="F5" s="58">
        <v>9</v>
      </c>
      <c r="G5" s="58">
        <v>5</v>
      </c>
      <c r="H5" s="58">
        <v>4</v>
      </c>
      <c r="I5" s="75">
        <v>147024.416666667</v>
      </c>
      <c r="J5" s="58">
        <v>2</v>
      </c>
      <c r="K5" s="58">
        <v>7</v>
      </c>
      <c r="L5" s="58">
        <v>25</v>
      </c>
      <c r="M5" s="75">
        <v>0</v>
      </c>
      <c r="N5" s="75">
        <v>0</v>
      </c>
      <c r="O5" s="75">
        <v>13151</v>
      </c>
      <c r="P5" s="75">
        <v>28159</v>
      </c>
      <c r="Q5" s="75">
        <v>1600</v>
      </c>
      <c r="R5" s="75">
        <v>29759</v>
      </c>
      <c r="S5" s="75">
        <v>28159</v>
      </c>
      <c r="T5" s="75">
        <v>1600</v>
      </c>
      <c r="U5" s="75">
        <v>29759</v>
      </c>
      <c r="V5" s="75">
        <v>28159</v>
      </c>
      <c r="W5" s="75">
        <v>-41841</v>
      </c>
    </row>
    <row r="6" ht="22.2" customHeight="1" spans="1:23">
      <c r="A6" s="58">
        <v>3</v>
      </c>
      <c r="B6" s="61"/>
      <c r="C6" s="58"/>
      <c r="D6" s="58" t="s">
        <v>31</v>
      </c>
      <c r="E6" s="58">
        <v>3</v>
      </c>
      <c r="F6" s="58">
        <v>3</v>
      </c>
      <c r="G6" s="58">
        <v>3</v>
      </c>
      <c r="H6" s="58">
        <v>3</v>
      </c>
      <c r="I6" s="75">
        <v>15000</v>
      </c>
      <c r="J6" s="58">
        <v>2</v>
      </c>
      <c r="K6" s="58">
        <v>2</v>
      </c>
      <c r="L6" s="58">
        <v>5</v>
      </c>
      <c r="M6" s="75">
        <v>13601</v>
      </c>
      <c r="N6" s="75">
        <v>6862</v>
      </c>
      <c r="O6" s="75">
        <v>13187</v>
      </c>
      <c r="P6" s="75">
        <v>9750</v>
      </c>
      <c r="Q6" s="75">
        <v>0</v>
      </c>
      <c r="R6" s="75">
        <v>9750</v>
      </c>
      <c r="S6" s="75">
        <v>9750</v>
      </c>
      <c r="T6" s="75">
        <v>0</v>
      </c>
      <c r="U6" s="75">
        <v>9750</v>
      </c>
      <c r="V6" s="75">
        <v>2888</v>
      </c>
      <c r="W6" s="75">
        <v>-10250</v>
      </c>
    </row>
    <row r="7" s="52" customFormat="1" ht="22.2" customHeight="1" spans="1:23">
      <c r="A7" s="62">
        <v>4</v>
      </c>
      <c r="B7" s="61"/>
      <c r="C7" s="62"/>
      <c r="D7" s="62" t="s">
        <v>29</v>
      </c>
      <c r="E7" s="62">
        <v>3</v>
      </c>
      <c r="F7" s="62">
        <v>3</v>
      </c>
      <c r="G7" s="62">
        <v>3</v>
      </c>
      <c r="H7" s="62">
        <v>3</v>
      </c>
      <c r="I7" s="76">
        <v>146198</v>
      </c>
      <c r="J7" s="62">
        <v>14</v>
      </c>
      <c r="K7" s="62">
        <v>19</v>
      </c>
      <c r="L7" s="62">
        <v>20</v>
      </c>
      <c r="M7" s="76">
        <v>47080</v>
      </c>
      <c r="N7" s="76">
        <v>65765</v>
      </c>
      <c r="O7" s="76">
        <v>6515</v>
      </c>
      <c r="P7" s="76">
        <v>69920</v>
      </c>
      <c r="Q7" s="76">
        <v>18200</v>
      </c>
      <c r="R7" s="76">
        <v>88120</v>
      </c>
      <c r="S7" s="76">
        <v>69920</v>
      </c>
      <c r="T7" s="76">
        <v>18200</v>
      </c>
      <c r="U7" s="76">
        <v>88120</v>
      </c>
      <c r="V7" s="76">
        <v>4155</v>
      </c>
      <c r="W7" s="76">
        <v>-120080</v>
      </c>
    </row>
    <row r="8" ht="22.2" customHeight="1" spans="1:23">
      <c r="A8" s="58">
        <v>5</v>
      </c>
      <c r="B8" s="61"/>
      <c r="C8" s="58"/>
      <c r="D8" s="60" t="s">
        <v>50</v>
      </c>
      <c r="E8" s="58">
        <v>7</v>
      </c>
      <c r="F8" s="58">
        <v>3</v>
      </c>
      <c r="G8" s="58">
        <v>0</v>
      </c>
      <c r="H8" s="58">
        <v>0</v>
      </c>
      <c r="I8" s="75">
        <v>64582.9333333333</v>
      </c>
      <c r="J8" s="58">
        <v>0</v>
      </c>
      <c r="K8" s="58">
        <v>0</v>
      </c>
      <c r="L8" s="58">
        <v>0</v>
      </c>
      <c r="M8" s="75">
        <v>0</v>
      </c>
      <c r="N8" s="75">
        <v>0</v>
      </c>
      <c r="O8" s="75">
        <v>0</v>
      </c>
      <c r="P8" s="75">
        <v>0</v>
      </c>
      <c r="Q8" s="75">
        <v>0</v>
      </c>
      <c r="R8" s="75">
        <v>0</v>
      </c>
      <c r="S8" s="75">
        <v>0</v>
      </c>
      <c r="T8" s="75">
        <v>0</v>
      </c>
      <c r="U8" s="75">
        <v>0</v>
      </c>
      <c r="V8" s="75">
        <v>0</v>
      </c>
      <c r="W8" s="75">
        <v>0</v>
      </c>
    </row>
    <row r="9" ht="22.2" hidden="1" customHeight="1" spans="1:23">
      <c r="A9" s="58">
        <v>6</v>
      </c>
      <c r="B9" s="61"/>
      <c r="C9" s="58"/>
      <c r="D9" s="58" t="s">
        <v>37</v>
      </c>
      <c r="E9" s="58">
        <v>0</v>
      </c>
      <c r="F9" s="58">
        <v>0</v>
      </c>
      <c r="G9" s="58">
        <v>0</v>
      </c>
      <c r="H9" s="58">
        <v>0</v>
      </c>
      <c r="I9" s="75">
        <v>0</v>
      </c>
      <c r="J9" s="58">
        <v>0</v>
      </c>
      <c r="K9" s="58">
        <v>0</v>
      </c>
      <c r="L9" s="58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</row>
    <row r="10" ht="22.2" customHeight="1" spans="1:23">
      <c r="A10" s="58">
        <v>7</v>
      </c>
      <c r="B10" s="61"/>
      <c r="C10" s="58"/>
      <c r="D10" s="60" t="s">
        <v>56</v>
      </c>
      <c r="E10" s="58">
        <v>4</v>
      </c>
      <c r="F10" s="58">
        <v>0</v>
      </c>
      <c r="G10" s="58">
        <v>0</v>
      </c>
      <c r="H10" s="58">
        <v>0</v>
      </c>
      <c r="I10" s="75">
        <v>83345.5333333334</v>
      </c>
      <c r="J10" s="58">
        <v>5</v>
      </c>
      <c r="K10" s="58">
        <v>10</v>
      </c>
      <c r="L10" s="58">
        <v>15</v>
      </c>
      <c r="M10" s="75">
        <v>0</v>
      </c>
      <c r="N10" s="75">
        <v>0</v>
      </c>
      <c r="O10" s="75">
        <v>0</v>
      </c>
      <c r="P10" s="75">
        <v>0</v>
      </c>
      <c r="Q10" s="75">
        <v>0</v>
      </c>
      <c r="R10" s="75">
        <v>0</v>
      </c>
      <c r="S10" s="75">
        <v>0</v>
      </c>
      <c r="T10" s="75">
        <v>0</v>
      </c>
      <c r="U10" s="75">
        <v>0</v>
      </c>
      <c r="V10" s="75">
        <v>0</v>
      </c>
      <c r="W10" s="75">
        <v>-100000</v>
      </c>
    </row>
    <row r="11" ht="22.2" customHeight="1" spans="1:23">
      <c r="A11" s="58">
        <v>8</v>
      </c>
      <c r="B11" s="61"/>
      <c r="C11" s="58"/>
      <c r="D11" s="58" t="s">
        <v>48</v>
      </c>
      <c r="E11" s="58">
        <v>6</v>
      </c>
      <c r="F11" s="58">
        <v>0</v>
      </c>
      <c r="G11" s="58">
        <v>0</v>
      </c>
      <c r="H11" s="58">
        <v>0</v>
      </c>
      <c r="I11" s="75">
        <v>80098.3333333333</v>
      </c>
      <c r="J11" s="58">
        <v>0</v>
      </c>
      <c r="K11" s="58">
        <v>8</v>
      </c>
      <c r="L11" s="58">
        <v>12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5">
        <v>0</v>
      </c>
      <c r="V11" s="75">
        <v>0</v>
      </c>
      <c r="W11" s="75">
        <v>-80000</v>
      </c>
    </row>
    <row r="12" ht="22.2" customHeight="1" spans="1:23">
      <c r="A12" s="58">
        <v>9</v>
      </c>
      <c r="B12" s="61"/>
      <c r="C12" s="58"/>
      <c r="D12" s="58" t="s">
        <v>26</v>
      </c>
      <c r="E12" s="58">
        <v>6</v>
      </c>
      <c r="F12" s="58">
        <v>2</v>
      </c>
      <c r="G12" s="58">
        <v>0</v>
      </c>
      <c r="H12" s="58">
        <v>0</v>
      </c>
      <c r="I12" s="75">
        <v>62178.1333333333</v>
      </c>
      <c r="J12" s="58">
        <v>0</v>
      </c>
      <c r="K12" s="58">
        <v>8</v>
      </c>
      <c r="L12" s="58">
        <v>12</v>
      </c>
      <c r="M12" s="75">
        <v>0</v>
      </c>
      <c r="N12" s="75">
        <v>0</v>
      </c>
      <c r="O12" s="75">
        <v>0</v>
      </c>
      <c r="P12" s="75">
        <v>0</v>
      </c>
      <c r="Q12" s="75">
        <v>0</v>
      </c>
      <c r="R12" s="75">
        <v>0</v>
      </c>
      <c r="S12" s="75">
        <v>0</v>
      </c>
      <c r="T12" s="75">
        <v>0</v>
      </c>
      <c r="U12" s="75">
        <v>0</v>
      </c>
      <c r="V12" s="75">
        <v>0</v>
      </c>
      <c r="W12" s="75">
        <v>-80000</v>
      </c>
    </row>
    <row r="13" ht="22.2" customHeight="1" spans="1:23">
      <c r="A13" s="58">
        <v>10</v>
      </c>
      <c r="B13" s="61"/>
      <c r="C13" s="58"/>
      <c r="D13" s="58" t="s">
        <v>24</v>
      </c>
      <c r="E13" s="58">
        <v>11</v>
      </c>
      <c r="F13" s="58">
        <v>8</v>
      </c>
      <c r="G13" s="58">
        <v>4</v>
      </c>
      <c r="H13" s="58">
        <v>4</v>
      </c>
      <c r="I13" s="75">
        <v>137917</v>
      </c>
      <c r="J13" s="58">
        <v>5</v>
      </c>
      <c r="K13" s="58">
        <v>15</v>
      </c>
      <c r="L13" s="58">
        <v>20</v>
      </c>
      <c r="M13" s="75">
        <v>6458</v>
      </c>
      <c r="N13" s="75">
        <v>10273</v>
      </c>
      <c r="O13" s="75">
        <v>19657</v>
      </c>
      <c r="P13" s="75">
        <v>30470</v>
      </c>
      <c r="Q13" s="75">
        <v>0</v>
      </c>
      <c r="R13" s="75">
        <v>30470</v>
      </c>
      <c r="S13" s="75">
        <v>30470</v>
      </c>
      <c r="T13" s="75">
        <v>0</v>
      </c>
      <c r="U13" s="75">
        <v>30470</v>
      </c>
      <c r="V13" s="75">
        <v>20197</v>
      </c>
      <c r="W13" s="75">
        <v>-119530</v>
      </c>
    </row>
    <row r="14" ht="22.2" customHeight="1" spans="1:23">
      <c r="A14" s="58">
        <v>11</v>
      </c>
      <c r="B14" s="61"/>
      <c r="C14" s="58"/>
      <c r="D14" s="58" t="s">
        <v>41</v>
      </c>
      <c r="E14" s="58">
        <v>2</v>
      </c>
      <c r="F14" s="58">
        <v>2</v>
      </c>
      <c r="G14" s="58">
        <v>2</v>
      </c>
      <c r="H14" s="58">
        <v>2</v>
      </c>
      <c r="I14" s="75">
        <v>52323</v>
      </c>
      <c r="J14" s="58">
        <v>10</v>
      </c>
      <c r="K14" s="58">
        <v>10</v>
      </c>
      <c r="L14" s="58">
        <v>10</v>
      </c>
      <c r="M14" s="75">
        <v>4533</v>
      </c>
      <c r="N14" s="75">
        <v>39382</v>
      </c>
      <c r="O14" s="75">
        <v>13283</v>
      </c>
      <c r="P14" s="75">
        <v>30777</v>
      </c>
      <c r="Q14" s="75">
        <v>6500</v>
      </c>
      <c r="R14" s="75">
        <v>37277</v>
      </c>
      <c r="S14" s="75">
        <v>30777</v>
      </c>
      <c r="T14" s="75">
        <v>6500</v>
      </c>
      <c r="U14" s="75">
        <v>37277</v>
      </c>
      <c r="V14" s="75">
        <v>-8605</v>
      </c>
      <c r="W14" s="75">
        <v>-69223</v>
      </c>
    </row>
    <row r="15" ht="22.2" customHeight="1" spans="1:23">
      <c r="A15" s="58">
        <v>12</v>
      </c>
      <c r="B15" s="61"/>
      <c r="C15" s="58"/>
      <c r="D15" s="58" t="s">
        <v>39</v>
      </c>
      <c r="E15" s="58">
        <v>28</v>
      </c>
      <c r="F15" s="58">
        <v>10</v>
      </c>
      <c r="G15" s="58">
        <v>2</v>
      </c>
      <c r="H15" s="58">
        <v>2</v>
      </c>
      <c r="I15" s="75">
        <v>158576.6</v>
      </c>
      <c r="J15" s="58">
        <v>5</v>
      </c>
      <c r="K15" s="58">
        <v>10</v>
      </c>
      <c r="L15" s="58">
        <v>15</v>
      </c>
      <c r="M15" s="75">
        <v>20549</v>
      </c>
      <c r="N15" s="75">
        <v>31878</v>
      </c>
      <c r="O15" s="75">
        <v>13819</v>
      </c>
      <c r="P15" s="75">
        <v>59103</v>
      </c>
      <c r="Q15" s="75">
        <v>2400</v>
      </c>
      <c r="R15" s="75">
        <v>61503</v>
      </c>
      <c r="S15" s="75">
        <v>59103</v>
      </c>
      <c r="T15" s="75">
        <v>2400</v>
      </c>
      <c r="U15" s="75">
        <v>61503</v>
      </c>
      <c r="V15" s="75">
        <v>27225</v>
      </c>
      <c r="W15" s="75">
        <v>-40897</v>
      </c>
    </row>
    <row r="16" ht="22.2" customHeight="1" spans="1:23">
      <c r="A16" s="58">
        <v>13</v>
      </c>
      <c r="B16" s="61"/>
      <c r="C16" s="58"/>
      <c r="D16" s="58" t="s">
        <v>22</v>
      </c>
      <c r="E16" s="58">
        <v>3</v>
      </c>
      <c r="F16" s="58">
        <v>2</v>
      </c>
      <c r="G16" s="58">
        <v>2</v>
      </c>
      <c r="H16" s="58">
        <v>2</v>
      </c>
      <c r="I16" s="75">
        <v>70305.5833333333</v>
      </c>
      <c r="J16" s="58">
        <v>12</v>
      </c>
      <c r="K16" s="58">
        <v>20</v>
      </c>
      <c r="L16" s="58">
        <v>20</v>
      </c>
      <c r="M16" s="75">
        <v>0</v>
      </c>
      <c r="N16" s="75">
        <v>64960</v>
      </c>
      <c r="O16" s="75">
        <v>8514</v>
      </c>
      <c r="P16" s="75">
        <v>33386</v>
      </c>
      <c r="Q16" s="75">
        <v>2200</v>
      </c>
      <c r="R16" s="75">
        <v>35586</v>
      </c>
      <c r="S16" s="75">
        <v>33386</v>
      </c>
      <c r="T16" s="75">
        <v>2200</v>
      </c>
      <c r="U16" s="75">
        <v>35586</v>
      </c>
      <c r="V16" s="75">
        <v>-31574</v>
      </c>
      <c r="W16" s="75">
        <v>-166614</v>
      </c>
    </row>
    <row r="17" ht="22.2" customHeight="1" spans="1:23">
      <c r="A17" s="58">
        <v>14</v>
      </c>
      <c r="B17" s="61"/>
      <c r="C17" s="58"/>
      <c r="D17" s="58" t="s">
        <v>19</v>
      </c>
      <c r="E17" s="58">
        <v>9</v>
      </c>
      <c r="F17" s="58">
        <v>2</v>
      </c>
      <c r="G17" s="58">
        <v>2</v>
      </c>
      <c r="H17" s="58">
        <v>2</v>
      </c>
      <c r="I17" s="75">
        <v>139461.433333333</v>
      </c>
      <c r="J17" s="58">
        <v>0</v>
      </c>
      <c r="K17" s="58">
        <v>8</v>
      </c>
      <c r="L17" s="58">
        <v>0</v>
      </c>
      <c r="M17" s="75">
        <v>0</v>
      </c>
      <c r="N17" s="75">
        <v>13429</v>
      </c>
      <c r="O17" s="75">
        <v>37380</v>
      </c>
      <c r="P17" s="75">
        <v>40591</v>
      </c>
      <c r="Q17" s="75">
        <v>12000</v>
      </c>
      <c r="R17" s="75">
        <v>52591</v>
      </c>
      <c r="S17" s="75">
        <v>40991</v>
      </c>
      <c r="T17" s="75">
        <v>12000</v>
      </c>
      <c r="U17" s="75">
        <v>52991</v>
      </c>
      <c r="V17" s="75">
        <v>27562</v>
      </c>
      <c r="W17" s="75">
        <v>-39009</v>
      </c>
    </row>
    <row r="18" ht="22.2" customHeight="1" spans="1:23">
      <c r="A18" s="58">
        <v>15</v>
      </c>
      <c r="B18" s="61"/>
      <c r="C18" s="58"/>
      <c r="D18" s="58" t="s">
        <v>43</v>
      </c>
      <c r="E18" s="58">
        <v>8</v>
      </c>
      <c r="F18" s="58">
        <v>1</v>
      </c>
      <c r="G18" s="58">
        <v>0</v>
      </c>
      <c r="H18" s="58">
        <v>0</v>
      </c>
      <c r="I18" s="75">
        <v>92751</v>
      </c>
      <c r="J18" s="58">
        <v>0</v>
      </c>
      <c r="K18" s="58">
        <v>0</v>
      </c>
      <c r="L18" s="58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</row>
    <row r="19" ht="22.2" customHeight="1" spans="1:23">
      <c r="A19" s="58">
        <v>16</v>
      </c>
      <c r="B19" s="61"/>
      <c r="C19" s="58"/>
      <c r="D19" s="58" t="s">
        <v>676</v>
      </c>
      <c r="E19" s="58">
        <v>5</v>
      </c>
      <c r="F19" s="58">
        <v>0</v>
      </c>
      <c r="G19" s="58">
        <v>0</v>
      </c>
      <c r="H19" s="58">
        <v>0</v>
      </c>
      <c r="I19" s="75">
        <v>83968.9666666666</v>
      </c>
      <c r="J19" s="58">
        <v>0</v>
      </c>
      <c r="K19" s="58">
        <v>0</v>
      </c>
      <c r="L19" s="58"/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</row>
    <row r="20" ht="22.2" customHeight="1" spans="1:23">
      <c r="A20" s="58">
        <v>17</v>
      </c>
      <c r="B20" s="61"/>
      <c r="C20" s="58"/>
      <c r="D20" s="58" t="s">
        <v>677</v>
      </c>
      <c r="E20" s="58">
        <v>1</v>
      </c>
      <c r="F20" s="58">
        <v>0</v>
      </c>
      <c r="G20" s="58">
        <v>0</v>
      </c>
      <c r="H20" s="58">
        <v>0</v>
      </c>
      <c r="I20" s="75">
        <v>15341.6666666667</v>
      </c>
      <c r="J20" s="58">
        <v>0</v>
      </c>
      <c r="K20" s="58">
        <v>0</v>
      </c>
      <c r="L20" s="58"/>
      <c r="M20" s="75">
        <v>0</v>
      </c>
      <c r="N20" s="75">
        <v>0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</row>
    <row r="21" ht="22.2" customHeight="1" spans="1:23">
      <c r="A21" s="58">
        <v>18</v>
      </c>
      <c r="B21" s="63"/>
      <c r="C21" s="58"/>
      <c r="D21" s="58" t="s">
        <v>35</v>
      </c>
      <c r="E21" s="58">
        <v>1</v>
      </c>
      <c r="F21" s="58">
        <v>0</v>
      </c>
      <c r="G21" s="58">
        <v>0</v>
      </c>
      <c r="H21" s="58">
        <v>0</v>
      </c>
      <c r="I21" s="75">
        <v>7550.5</v>
      </c>
      <c r="J21" s="58">
        <v>0</v>
      </c>
      <c r="K21" s="58">
        <v>0</v>
      </c>
      <c r="L21" s="58"/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</row>
    <row r="22" ht="22.2" customHeight="1" spans="1:23">
      <c r="A22" s="60"/>
      <c r="B22" s="64"/>
      <c r="C22" s="64"/>
      <c r="D22" s="65" t="s">
        <v>678</v>
      </c>
      <c r="E22" s="64">
        <v>113</v>
      </c>
      <c r="F22" s="64">
        <v>47</v>
      </c>
      <c r="G22" s="64">
        <v>25</v>
      </c>
      <c r="H22" s="64">
        <v>24</v>
      </c>
      <c r="I22" s="77">
        <v>1428583.8</v>
      </c>
      <c r="J22" s="64">
        <v>60</v>
      </c>
      <c r="K22" s="64">
        <v>137</v>
      </c>
      <c r="L22" s="64">
        <v>174</v>
      </c>
      <c r="M22" s="77">
        <v>92221</v>
      </c>
      <c r="N22" s="77">
        <v>233549</v>
      </c>
      <c r="O22" s="77">
        <v>152486</v>
      </c>
      <c r="P22" s="77">
        <v>519516</v>
      </c>
      <c r="Q22" s="77">
        <v>65100</v>
      </c>
      <c r="R22" s="77">
        <v>584616</v>
      </c>
      <c r="S22" s="77">
        <v>519916</v>
      </c>
      <c r="T22" s="77">
        <v>65100</v>
      </c>
      <c r="U22" s="77">
        <v>585016</v>
      </c>
      <c r="V22" s="77">
        <v>286367</v>
      </c>
      <c r="W22" s="77">
        <v>-850084</v>
      </c>
    </row>
    <row r="23" ht="22.2" customHeight="1" spans="1:23">
      <c r="A23" s="58">
        <v>3</v>
      </c>
      <c r="B23" s="58" t="s">
        <v>441</v>
      </c>
      <c r="C23" s="58" t="s">
        <v>675</v>
      </c>
      <c r="D23" s="60" t="s">
        <v>52</v>
      </c>
      <c r="E23" s="58">
        <v>0</v>
      </c>
      <c r="F23" s="58">
        <v>0</v>
      </c>
      <c r="G23" s="58">
        <v>0</v>
      </c>
      <c r="H23" s="58">
        <v>0</v>
      </c>
      <c r="I23" s="75">
        <v>0</v>
      </c>
      <c r="J23" s="58">
        <v>0</v>
      </c>
      <c r="K23" s="58">
        <v>0</v>
      </c>
      <c r="L23" s="58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</row>
    <row r="24" ht="22.2" customHeight="1" spans="1:23">
      <c r="A24" s="58">
        <v>4</v>
      </c>
      <c r="B24" s="58"/>
      <c r="C24" s="58"/>
      <c r="D24" s="60" t="s">
        <v>54</v>
      </c>
      <c r="E24" s="58">
        <v>5</v>
      </c>
      <c r="F24" s="58">
        <v>5</v>
      </c>
      <c r="G24" s="58">
        <v>0</v>
      </c>
      <c r="H24" s="58">
        <v>0</v>
      </c>
      <c r="I24" s="75">
        <v>60577.8</v>
      </c>
      <c r="J24" s="58">
        <v>0</v>
      </c>
      <c r="K24" s="58">
        <v>3</v>
      </c>
      <c r="L24" s="58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-30000</v>
      </c>
    </row>
    <row r="25" ht="22.2" customHeight="1" spans="1:23">
      <c r="A25" s="58">
        <v>5</v>
      </c>
      <c r="B25" s="58"/>
      <c r="C25" s="58"/>
      <c r="D25" s="66" t="s">
        <v>35</v>
      </c>
      <c r="E25" s="58">
        <v>18</v>
      </c>
      <c r="F25" s="58">
        <v>17</v>
      </c>
      <c r="G25" s="58">
        <v>14</v>
      </c>
      <c r="H25" s="58">
        <v>14</v>
      </c>
      <c r="I25" s="75">
        <v>174582</v>
      </c>
      <c r="J25" s="58">
        <v>20</v>
      </c>
      <c r="K25" s="58">
        <v>20</v>
      </c>
      <c r="L25" s="58">
        <v>25</v>
      </c>
      <c r="M25" s="75">
        <v>251190</v>
      </c>
      <c r="N25" s="75">
        <v>148765</v>
      </c>
      <c r="O25" s="75">
        <v>37629</v>
      </c>
      <c r="P25" s="75">
        <v>125230</v>
      </c>
      <c r="Q25" s="75">
        <v>57218</v>
      </c>
      <c r="R25" s="75">
        <v>182448</v>
      </c>
      <c r="S25" s="75">
        <v>133230</v>
      </c>
      <c r="T25" s="75">
        <v>67318</v>
      </c>
      <c r="U25" s="75">
        <v>200548</v>
      </c>
      <c r="V25" s="75">
        <v>-15535</v>
      </c>
      <c r="W25" s="75">
        <v>-66770</v>
      </c>
    </row>
    <row r="26" ht="22.2" customHeight="1" spans="1:23">
      <c r="A26" s="58">
        <v>6</v>
      </c>
      <c r="B26" s="58"/>
      <c r="C26" s="58"/>
      <c r="D26" s="58" t="s">
        <v>29</v>
      </c>
      <c r="E26" s="58">
        <v>1</v>
      </c>
      <c r="F26" s="58">
        <v>1</v>
      </c>
      <c r="G26" s="58">
        <v>1</v>
      </c>
      <c r="H26" s="58">
        <v>1</v>
      </c>
      <c r="I26" s="75">
        <v>0</v>
      </c>
      <c r="J26" s="58">
        <v>0</v>
      </c>
      <c r="K26" s="58">
        <v>1</v>
      </c>
      <c r="L26" s="58">
        <v>0</v>
      </c>
      <c r="M26" s="75">
        <v>0</v>
      </c>
      <c r="N26" s="75">
        <v>0</v>
      </c>
      <c r="O26" s="75">
        <v>0</v>
      </c>
      <c r="P26" s="75">
        <v>10000</v>
      </c>
      <c r="Q26" s="75">
        <v>0</v>
      </c>
      <c r="R26" s="75">
        <v>10000</v>
      </c>
      <c r="S26" s="75">
        <v>10000</v>
      </c>
      <c r="T26" s="75">
        <v>0</v>
      </c>
      <c r="U26" s="75">
        <v>10000</v>
      </c>
      <c r="V26" s="75">
        <v>10000</v>
      </c>
      <c r="W26" s="75">
        <v>0</v>
      </c>
    </row>
    <row r="27" ht="22.2" hidden="1" customHeight="1" spans="1:23">
      <c r="A27" s="58">
        <v>7</v>
      </c>
      <c r="B27" s="58"/>
      <c r="C27" s="58"/>
      <c r="D27" s="60" t="s">
        <v>50</v>
      </c>
      <c r="E27" s="58">
        <v>0</v>
      </c>
      <c r="F27" s="58">
        <v>0</v>
      </c>
      <c r="G27" s="58">
        <v>0</v>
      </c>
      <c r="H27" s="58">
        <v>0</v>
      </c>
      <c r="I27" s="75">
        <v>0</v>
      </c>
      <c r="J27" s="58">
        <v>0</v>
      </c>
      <c r="K27" s="58">
        <v>0</v>
      </c>
      <c r="L27" s="58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</row>
    <row r="28" ht="22.2" customHeight="1" spans="1:23">
      <c r="A28" s="58">
        <v>8</v>
      </c>
      <c r="B28" s="58"/>
      <c r="C28" s="58"/>
      <c r="D28" s="58" t="s">
        <v>37</v>
      </c>
      <c r="E28" s="58">
        <v>43</v>
      </c>
      <c r="F28" s="58">
        <v>43</v>
      </c>
      <c r="G28" s="58">
        <v>42</v>
      </c>
      <c r="H28" s="58">
        <v>19</v>
      </c>
      <c r="I28" s="75">
        <v>413832</v>
      </c>
      <c r="J28" s="58">
        <v>30</v>
      </c>
      <c r="K28" s="58">
        <v>35</v>
      </c>
      <c r="L28" s="58">
        <v>40</v>
      </c>
      <c r="M28" s="75">
        <v>260950</v>
      </c>
      <c r="N28" s="75">
        <v>242500</v>
      </c>
      <c r="O28" s="75">
        <v>178187</v>
      </c>
      <c r="P28" s="75">
        <v>167601</v>
      </c>
      <c r="Q28" s="75">
        <v>213744</v>
      </c>
      <c r="R28" s="75">
        <v>381345</v>
      </c>
      <c r="S28" s="75">
        <v>181101</v>
      </c>
      <c r="T28" s="75">
        <v>213744</v>
      </c>
      <c r="U28" s="75">
        <v>394845</v>
      </c>
      <c r="V28" s="75">
        <v>-61399</v>
      </c>
      <c r="W28" s="75">
        <v>-168899</v>
      </c>
    </row>
    <row r="29" ht="22.2" customHeight="1" spans="1:23">
      <c r="A29" s="58">
        <v>9</v>
      </c>
      <c r="B29" s="58"/>
      <c r="C29" s="58"/>
      <c r="D29" s="58" t="s">
        <v>33</v>
      </c>
      <c r="E29" s="58">
        <v>3</v>
      </c>
      <c r="F29" s="58">
        <v>2</v>
      </c>
      <c r="G29" s="58">
        <v>2</v>
      </c>
      <c r="H29" s="58">
        <v>2</v>
      </c>
      <c r="I29" s="75">
        <v>46402</v>
      </c>
      <c r="J29" s="58">
        <v>5</v>
      </c>
      <c r="K29" s="58">
        <v>10</v>
      </c>
      <c r="L29" s="58">
        <v>10</v>
      </c>
      <c r="M29" s="75">
        <v>8332</v>
      </c>
      <c r="N29" s="75">
        <v>15886</v>
      </c>
      <c r="O29" s="75">
        <v>5230</v>
      </c>
      <c r="P29" s="75">
        <v>33052</v>
      </c>
      <c r="Q29" s="75">
        <v>27400</v>
      </c>
      <c r="R29" s="75">
        <v>60452</v>
      </c>
      <c r="S29" s="75">
        <v>33052</v>
      </c>
      <c r="T29" s="75">
        <v>27400</v>
      </c>
      <c r="U29" s="75">
        <v>60452</v>
      </c>
      <c r="V29" s="75">
        <v>17166</v>
      </c>
      <c r="W29" s="75">
        <v>-66948</v>
      </c>
    </row>
    <row r="30" ht="22.2" customHeight="1" spans="1:23">
      <c r="A30" s="58">
        <v>10</v>
      </c>
      <c r="B30" s="58"/>
      <c r="C30" s="58"/>
      <c r="D30" s="58" t="s">
        <v>48</v>
      </c>
      <c r="E30" s="58">
        <v>3</v>
      </c>
      <c r="F30" s="58">
        <v>0</v>
      </c>
      <c r="G30" s="58">
        <v>0</v>
      </c>
      <c r="H30" s="58">
        <v>0</v>
      </c>
      <c r="I30" s="75">
        <v>74906.1666666667</v>
      </c>
      <c r="J30" s="58">
        <v>0</v>
      </c>
      <c r="K30" s="58">
        <v>0</v>
      </c>
      <c r="L30" s="58">
        <v>0</v>
      </c>
      <c r="M30" s="75">
        <v>0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</row>
    <row r="31" ht="22.2" customHeight="1" spans="1:23">
      <c r="A31" s="58">
        <v>11</v>
      </c>
      <c r="B31" s="58"/>
      <c r="C31" s="58"/>
      <c r="D31" s="58" t="s">
        <v>31</v>
      </c>
      <c r="E31" s="58">
        <v>0</v>
      </c>
      <c r="F31" s="58">
        <v>0</v>
      </c>
      <c r="G31" s="58">
        <v>0</v>
      </c>
      <c r="H31" s="58">
        <v>0</v>
      </c>
      <c r="I31" s="75">
        <v>0</v>
      </c>
      <c r="J31" s="58">
        <v>0</v>
      </c>
      <c r="K31" s="58">
        <v>0</v>
      </c>
      <c r="L31" s="58">
        <v>0</v>
      </c>
      <c r="M31" s="75">
        <v>0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</row>
    <row r="32" ht="22.2" customHeight="1" spans="1:23">
      <c r="A32" s="58">
        <v>12</v>
      </c>
      <c r="B32" s="58"/>
      <c r="C32" s="58"/>
      <c r="D32" s="58" t="s">
        <v>26</v>
      </c>
      <c r="E32" s="58">
        <v>31</v>
      </c>
      <c r="F32" s="58">
        <v>24</v>
      </c>
      <c r="G32" s="58">
        <v>16</v>
      </c>
      <c r="H32" s="58">
        <v>20</v>
      </c>
      <c r="I32" s="75">
        <v>461824.466666667</v>
      </c>
      <c r="J32" s="58">
        <v>50</v>
      </c>
      <c r="K32" s="58">
        <v>50</v>
      </c>
      <c r="L32" s="58">
        <v>60</v>
      </c>
      <c r="M32" s="75">
        <v>183802</v>
      </c>
      <c r="N32" s="75">
        <v>202904</v>
      </c>
      <c r="O32" s="75">
        <v>141838</v>
      </c>
      <c r="P32" s="75">
        <v>258633</v>
      </c>
      <c r="Q32" s="75">
        <v>226656</v>
      </c>
      <c r="R32" s="75">
        <v>485289</v>
      </c>
      <c r="S32" s="75">
        <v>287923</v>
      </c>
      <c r="T32" s="75">
        <v>406440</v>
      </c>
      <c r="U32" s="75">
        <v>694363</v>
      </c>
      <c r="V32" s="75">
        <v>85019</v>
      </c>
      <c r="W32" s="75">
        <v>-212077</v>
      </c>
    </row>
    <row r="33" ht="22.2" customHeight="1" spans="1:23">
      <c r="A33" s="58">
        <v>13</v>
      </c>
      <c r="B33" s="58"/>
      <c r="C33" s="58"/>
      <c r="D33" s="58" t="s">
        <v>22</v>
      </c>
      <c r="E33" s="58">
        <v>0</v>
      </c>
      <c r="F33" s="58">
        <v>0</v>
      </c>
      <c r="G33" s="58">
        <v>0</v>
      </c>
      <c r="H33" s="58">
        <v>0</v>
      </c>
      <c r="I33" s="75">
        <v>0</v>
      </c>
      <c r="J33" s="58">
        <v>0</v>
      </c>
      <c r="K33" s="58">
        <v>0</v>
      </c>
      <c r="L33" s="58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</row>
    <row r="34" ht="22.2" customHeight="1" spans="1:23">
      <c r="A34" s="58">
        <v>14</v>
      </c>
      <c r="B34" s="58"/>
      <c r="C34" s="58"/>
      <c r="D34" s="58" t="s">
        <v>19</v>
      </c>
      <c r="E34" s="58">
        <v>22</v>
      </c>
      <c r="F34" s="58">
        <v>20</v>
      </c>
      <c r="G34" s="58">
        <v>17</v>
      </c>
      <c r="H34" s="58">
        <v>13</v>
      </c>
      <c r="I34" s="75">
        <v>227495</v>
      </c>
      <c r="J34" s="58">
        <v>25</v>
      </c>
      <c r="K34" s="58">
        <v>22</v>
      </c>
      <c r="L34" s="58">
        <v>35</v>
      </c>
      <c r="M34" s="75">
        <v>188801</v>
      </c>
      <c r="N34" s="75">
        <v>121037</v>
      </c>
      <c r="O34" s="75">
        <v>47354</v>
      </c>
      <c r="P34" s="75">
        <v>299466</v>
      </c>
      <c r="Q34" s="75">
        <v>253927</v>
      </c>
      <c r="R34" s="75">
        <v>553393</v>
      </c>
      <c r="S34" s="75">
        <v>312266</v>
      </c>
      <c r="T34" s="75">
        <v>282945</v>
      </c>
      <c r="U34" s="75">
        <v>595211</v>
      </c>
      <c r="V34" s="75">
        <v>191229</v>
      </c>
      <c r="W34" s="75">
        <v>92266</v>
      </c>
    </row>
    <row r="35" ht="22.2" customHeight="1" spans="1:23">
      <c r="A35" s="58">
        <v>15</v>
      </c>
      <c r="B35" s="58"/>
      <c r="C35" s="58" t="s">
        <v>679</v>
      </c>
      <c r="D35" s="58" t="s">
        <v>680</v>
      </c>
      <c r="E35" s="58">
        <v>0</v>
      </c>
      <c r="F35" s="58">
        <v>0</v>
      </c>
      <c r="G35" s="58">
        <v>0</v>
      </c>
      <c r="H35" s="58">
        <v>0</v>
      </c>
      <c r="I35" s="75">
        <v>0</v>
      </c>
      <c r="J35" s="58">
        <v>0</v>
      </c>
      <c r="K35" s="58">
        <v>0</v>
      </c>
      <c r="L35" s="58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</row>
    <row r="36" ht="22.2" customHeight="1" spans="1:23">
      <c r="A36" s="58">
        <v>16</v>
      </c>
      <c r="B36" s="58"/>
      <c r="C36" s="58"/>
      <c r="D36" s="58" t="s">
        <v>676</v>
      </c>
      <c r="E36" s="58">
        <v>3</v>
      </c>
      <c r="F36" s="58">
        <v>0</v>
      </c>
      <c r="G36" s="58">
        <v>0</v>
      </c>
      <c r="H36" s="58">
        <v>0</v>
      </c>
      <c r="I36" s="75">
        <v>72328.3</v>
      </c>
      <c r="J36" s="58">
        <v>0</v>
      </c>
      <c r="K36" s="58">
        <v>0</v>
      </c>
      <c r="L36" s="58"/>
      <c r="M36" s="75">
        <v>0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</row>
    <row r="37" ht="22.2" customHeight="1" spans="1:23">
      <c r="A37" s="58">
        <v>17</v>
      </c>
      <c r="B37" s="58"/>
      <c r="C37" s="58"/>
      <c r="D37" s="58" t="s">
        <v>677</v>
      </c>
      <c r="E37" s="58">
        <v>1</v>
      </c>
      <c r="F37" s="58">
        <v>0</v>
      </c>
      <c r="G37" s="58">
        <v>0</v>
      </c>
      <c r="H37" s="58">
        <v>0</v>
      </c>
      <c r="I37" s="75">
        <v>43809</v>
      </c>
      <c r="J37" s="58">
        <v>0</v>
      </c>
      <c r="K37" s="58">
        <v>0</v>
      </c>
      <c r="L37" s="58"/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</row>
    <row r="38" ht="22.2" customHeight="1" spans="1:23">
      <c r="A38" s="64"/>
      <c r="B38" s="64"/>
      <c r="C38" s="64"/>
      <c r="D38" s="65" t="s">
        <v>681</v>
      </c>
      <c r="E38" s="64">
        <v>130</v>
      </c>
      <c r="F38" s="64">
        <v>112</v>
      </c>
      <c r="G38" s="64">
        <v>92</v>
      </c>
      <c r="H38" s="64">
        <v>69</v>
      </c>
      <c r="I38" s="78">
        <v>1575756.73333333</v>
      </c>
      <c r="J38" s="64">
        <v>130</v>
      </c>
      <c r="K38" s="64">
        <v>141</v>
      </c>
      <c r="L38" s="64">
        <v>170</v>
      </c>
      <c r="M38" s="78">
        <v>893075</v>
      </c>
      <c r="N38" s="79">
        <v>731092</v>
      </c>
      <c r="O38" s="79">
        <v>410238</v>
      </c>
      <c r="P38" s="79">
        <v>893982</v>
      </c>
      <c r="Q38" s="79">
        <v>778945</v>
      </c>
      <c r="R38" s="79">
        <v>1672927</v>
      </c>
      <c r="S38" s="78">
        <v>957572</v>
      </c>
      <c r="T38" s="78">
        <v>997847</v>
      </c>
      <c r="U38" s="78">
        <v>1955419</v>
      </c>
      <c r="V38" s="78">
        <v>226480</v>
      </c>
      <c r="W38" s="78">
        <v>-452428</v>
      </c>
    </row>
    <row r="39" ht="22.2" customHeight="1" spans="1:23">
      <c r="A39" s="58">
        <v>4</v>
      </c>
      <c r="B39" s="67" t="s">
        <v>410</v>
      </c>
      <c r="C39" s="58" t="s">
        <v>675</v>
      </c>
      <c r="D39" s="58" t="s">
        <v>26</v>
      </c>
      <c r="E39" s="58">
        <v>25</v>
      </c>
      <c r="F39" s="58">
        <v>4</v>
      </c>
      <c r="G39" s="58">
        <v>4</v>
      </c>
      <c r="H39" s="58">
        <v>15</v>
      </c>
      <c r="I39" s="75">
        <v>93953</v>
      </c>
      <c r="J39" s="58">
        <v>0</v>
      </c>
      <c r="K39" s="58">
        <v>0</v>
      </c>
      <c r="L39" s="58">
        <v>0</v>
      </c>
      <c r="M39" s="75">
        <v>3054</v>
      </c>
      <c r="N39" s="75">
        <v>43944</v>
      </c>
      <c r="O39" s="75">
        <v>15962</v>
      </c>
      <c r="P39" s="75">
        <v>46254</v>
      </c>
      <c r="Q39" s="75">
        <v>26099</v>
      </c>
      <c r="R39" s="75">
        <v>72353</v>
      </c>
      <c r="S39" s="75">
        <v>46254</v>
      </c>
      <c r="T39" s="75">
        <v>26099</v>
      </c>
      <c r="U39" s="75">
        <v>72353</v>
      </c>
      <c r="V39" s="75">
        <v>2310</v>
      </c>
      <c r="W39" s="75">
        <v>46254</v>
      </c>
    </row>
    <row r="40" ht="22.2" customHeight="1" spans="1:23">
      <c r="A40" s="58">
        <v>5</v>
      </c>
      <c r="B40" s="67"/>
      <c r="C40" s="58"/>
      <c r="D40" s="60" t="s">
        <v>52</v>
      </c>
      <c r="E40" s="58">
        <v>1</v>
      </c>
      <c r="F40" s="58">
        <v>1</v>
      </c>
      <c r="G40" s="58">
        <v>0</v>
      </c>
      <c r="H40" s="58">
        <v>0</v>
      </c>
      <c r="I40" s="75">
        <v>26577</v>
      </c>
      <c r="J40" s="58">
        <v>0</v>
      </c>
      <c r="K40" s="58">
        <v>0</v>
      </c>
      <c r="L40" s="58">
        <v>0</v>
      </c>
      <c r="M40" s="75">
        <v>0</v>
      </c>
      <c r="N40" s="75">
        <v>0</v>
      </c>
      <c r="O40" s="75">
        <v>0</v>
      </c>
      <c r="P40" s="75">
        <v>0</v>
      </c>
      <c r="Q40" s="75">
        <v>0</v>
      </c>
      <c r="R40" s="75">
        <v>0</v>
      </c>
      <c r="S40" s="75">
        <v>0</v>
      </c>
      <c r="T40" s="75">
        <v>0</v>
      </c>
      <c r="U40" s="75">
        <v>0</v>
      </c>
      <c r="V40" s="75">
        <v>0</v>
      </c>
      <c r="W40" s="75">
        <v>0</v>
      </c>
    </row>
    <row r="41" ht="22.2" customHeight="1" spans="1:23">
      <c r="A41" s="58">
        <v>6</v>
      </c>
      <c r="B41" s="67"/>
      <c r="C41" s="58"/>
      <c r="D41" s="58" t="s">
        <v>19</v>
      </c>
      <c r="E41" s="58">
        <v>1</v>
      </c>
      <c r="F41" s="58">
        <v>1</v>
      </c>
      <c r="G41" s="58">
        <v>1</v>
      </c>
      <c r="H41" s="58">
        <v>1</v>
      </c>
      <c r="I41" s="75">
        <v>26577</v>
      </c>
      <c r="J41" s="58">
        <v>0</v>
      </c>
      <c r="K41" s="58">
        <v>0</v>
      </c>
      <c r="L41" s="58">
        <v>0</v>
      </c>
      <c r="M41" s="75">
        <v>0</v>
      </c>
      <c r="N41" s="75">
        <v>12000</v>
      </c>
      <c r="O41" s="75">
        <v>0</v>
      </c>
      <c r="P41" s="75">
        <v>40000</v>
      </c>
      <c r="Q41" s="75">
        <v>2456</v>
      </c>
      <c r="R41" s="75">
        <v>42456</v>
      </c>
      <c r="S41" s="75">
        <v>40000</v>
      </c>
      <c r="T41" s="75">
        <v>2456</v>
      </c>
      <c r="U41" s="75">
        <v>42456</v>
      </c>
      <c r="V41" s="75">
        <v>28000</v>
      </c>
      <c r="W41" s="75">
        <v>40000</v>
      </c>
    </row>
    <row r="42" ht="22.2" hidden="1" customHeight="1" spans="1:23">
      <c r="A42" s="58">
        <v>7</v>
      </c>
      <c r="B42" s="67"/>
      <c r="C42" s="58"/>
      <c r="D42" s="58"/>
      <c r="E42" s="58"/>
      <c r="F42" s="58"/>
      <c r="G42" s="58"/>
      <c r="H42" s="58"/>
      <c r="I42" s="75"/>
      <c r="J42" s="58"/>
      <c r="K42" s="58"/>
      <c r="L42" s="58"/>
      <c r="M42" s="74"/>
      <c r="N42" s="75">
        <v>0</v>
      </c>
      <c r="O42" s="75">
        <v>0</v>
      </c>
      <c r="P42" s="75"/>
      <c r="Q42" s="75"/>
      <c r="R42" s="75"/>
      <c r="S42" s="75"/>
      <c r="T42" s="75"/>
      <c r="U42" s="75"/>
      <c r="V42" s="75"/>
      <c r="W42" s="75"/>
    </row>
    <row r="43" ht="22.2" hidden="1" customHeight="1" spans="1:23">
      <c r="A43" s="58">
        <v>8</v>
      </c>
      <c r="B43" s="67"/>
      <c r="C43" s="58"/>
      <c r="D43" s="58"/>
      <c r="E43" s="58"/>
      <c r="F43" s="58"/>
      <c r="G43" s="58"/>
      <c r="H43" s="58"/>
      <c r="I43" s="75"/>
      <c r="J43" s="58"/>
      <c r="K43" s="58"/>
      <c r="L43" s="58"/>
      <c r="M43" s="74"/>
      <c r="N43" s="75">
        <v>0</v>
      </c>
      <c r="O43" s="75">
        <v>0</v>
      </c>
      <c r="P43" s="75"/>
      <c r="Q43" s="75"/>
      <c r="R43" s="75"/>
      <c r="S43" s="75"/>
      <c r="T43" s="75"/>
      <c r="U43" s="75"/>
      <c r="V43" s="75"/>
      <c r="W43" s="75"/>
    </row>
    <row r="44" ht="22.2" customHeight="1" spans="1:23">
      <c r="A44" s="64"/>
      <c r="B44" s="64"/>
      <c r="C44" s="64"/>
      <c r="D44" s="65" t="s">
        <v>682</v>
      </c>
      <c r="E44" s="64">
        <v>27</v>
      </c>
      <c r="F44" s="64">
        <v>6</v>
      </c>
      <c r="G44" s="64">
        <v>5</v>
      </c>
      <c r="H44" s="64">
        <v>16</v>
      </c>
      <c r="I44" s="78">
        <v>147107</v>
      </c>
      <c r="J44" s="64">
        <v>0</v>
      </c>
      <c r="K44" s="64">
        <v>0</v>
      </c>
      <c r="L44" s="64">
        <v>0</v>
      </c>
      <c r="M44" s="77">
        <v>3054</v>
      </c>
      <c r="N44" s="77">
        <v>55944</v>
      </c>
      <c r="O44" s="77">
        <v>15962</v>
      </c>
      <c r="P44" s="79">
        <v>86254</v>
      </c>
      <c r="Q44" s="79">
        <v>28555</v>
      </c>
      <c r="R44" s="79">
        <v>114809</v>
      </c>
      <c r="S44" s="78">
        <v>86254</v>
      </c>
      <c r="T44" s="78">
        <v>28555</v>
      </c>
      <c r="U44" s="78">
        <v>114809</v>
      </c>
      <c r="V44" s="78">
        <v>30310</v>
      </c>
      <c r="W44" s="78">
        <v>86254</v>
      </c>
    </row>
    <row r="45" ht="22.2" customHeight="1" spans="1:24">
      <c r="A45" s="68"/>
      <c r="B45" s="68"/>
      <c r="C45" s="68"/>
      <c r="D45" s="68" t="s">
        <v>683</v>
      </c>
      <c r="E45" s="68">
        <v>266</v>
      </c>
      <c r="F45" s="68">
        <v>165</v>
      </c>
      <c r="G45" s="68">
        <v>122</v>
      </c>
      <c r="H45" s="68">
        <v>109</v>
      </c>
      <c r="I45" s="80">
        <v>3151447.53333333</v>
      </c>
      <c r="J45" s="68">
        <v>190</v>
      </c>
      <c r="K45" s="68">
        <v>278</v>
      </c>
      <c r="L45" s="68">
        <v>344</v>
      </c>
      <c r="M45" s="81">
        <v>988350</v>
      </c>
      <c r="N45" s="81">
        <v>1020585</v>
      </c>
      <c r="O45" s="81">
        <v>578686</v>
      </c>
      <c r="P45" s="82">
        <v>1499752</v>
      </c>
      <c r="Q45" s="82">
        <v>872600</v>
      </c>
      <c r="R45" s="82">
        <v>2372352</v>
      </c>
      <c r="S45" s="82">
        <v>1563742</v>
      </c>
      <c r="T45" s="82">
        <v>1091502</v>
      </c>
      <c r="U45" s="82">
        <v>2655244</v>
      </c>
      <c r="V45" s="82">
        <v>543157</v>
      </c>
      <c r="W45" s="82">
        <v>-1216258</v>
      </c>
      <c r="X45" s="55"/>
    </row>
    <row r="46" customHeight="1" spans="1:9">
      <c r="A46" s="69" t="s">
        <v>684</v>
      </c>
      <c r="B46" s="69"/>
      <c r="C46" s="69"/>
      <c r="D46" s="69"/>
      <c r="E46" s="70">
        <v>227</v>
      </c>
      <c r="F46" s="70">
        <v>143</v>
      </c>
      <c r="G46" s="70">
        <v>100</v>
      </c>
      <c r="H46" s="70"/>
      <c r="I46" s="83">
        <v>2836447.53333333</v>
      </c>
    </row>
    <row r="47" s="51" customFormat="1" customHeight="1" spans="1:23">
      <c r="A47" s="69"/>
      <c r="B47" s="69"/>
      <c r="C47" s="69"/>
      <c r="D47" s="69"/>
      <c r="E47" s="71" t="s">
        <v>660</v>
      </c>
      <c r="F47" s="71" t="s">
        <v>661</v>
      </c>
      <c r="G47" s="71" t="s">
        <v>662</v>
      </c>
      <c r="H47" s="71"/>
      <c r="I47" s="84" t="s">
        <v>664</v>
      </c>
      <c r="M47" s="84"/>
      <c r="N47" s="84"/>
      <c r="O47" s="84"/>
      <c r="P47" s="84"/>
      <c r="Q47" s="84"/>
      <c r="R47" s="84"/>
      <c r="S47" s="84"/>
      <c r="T47" s="84"/>
      <c r="U47" s="84" t="s">
        <v>685</v>
      </c>
      <c r="V47" s="84"/>
      <c r="W47" s="84"/>
    </row>
    <row r="48" s="53" customFormat="1" customHeight="1" spans="2:23">
      <c r="B48" s="51"/>
      <c r="C48" s="51"/>
      <c r="D48" s="51"/>
      <c r="E48" s="51"/>
      <c r="F48" s="51"/>
      <c r="G48" s="51"/>
      <c r="H48" s="51"/>
      <c r="I48" s="84"/>
      <c r="M48" s="84"/>
      <c r="N48" s="85"/>
      <c r="O48" s="85"/>
      <c r="P48" s="84"/>
      <c r="Q48" s="84"/>
      <c r="R48" s="84"/>
      <c r="S48" s="84"/>
      <c r="T48" s="84"/>
      <c r="U48" s="84"/>
      <c r="V48" s="84"/>
      <c r="W48" s="84"/>
    </row>
    <row r="49" customHeight="1" spans="9:21">
      <c r="I49" s="54"/>
      <c r="M49" s="54"/>
      <c r="N49" s="54"/>
      <c r="O49" s="54"/>
      <c r="P49" s="54"/>
      <c r="Q49" s="54"/>
      <c r="R49" s="54"/>
      <c r="S49" s="54"/>
      <c r="T49" s="54"/>
      <c r="U49" s="54"/>
    </row>
  </sheetData>
  <mergeCells count="24">
    <mergeCell ref="A1:W1"/>
    <mergeCell ref="J2:L2"/>
    <mergeCell ref="P2:R2"/>
    <mergeCell ref="S2:U2"/>
    <mergeCell ref="V2:W2"/>
    <mergeCell ref="A2:A3"/>
    <mergeCell ref="B2:B3"/>
    <mergeCell ref="B4:B21"/>
    <mergeCell ref="B23:B37"/>
    <mergeCell ref="B39:B43"/>
    <mergeCell ref="C2:C3"/>
    <mergeCell ref="C4:C19"/>
    <mergeCell ref="C23:C34"/>
    <mergeCell ref="C39:C43"/>
    <mergeCell ref="D2:D3"/>
    <mergeCell ref="E2:E3"/>
    <mergeCell ref="F2:F3"/>
    <mergeCell ref="G2:G3"/>
    <mergeCell ref="H2:H3"/>
    <mergeCell ref="I2:I3"/>
    <mergeCell ref="M2:M3"/>
    <mergeCell ref="N2:N3"/>
    <mergeCell ref="O2:O3"/>
    <mergeCell ref="A46:D47"/>
  </mergeCells>
  <pageMargins left="0.7" right="0.7" top="0.314583333333333" bottom="0.275" header="0.3" footer="0.3"/>
  <pageSetup paperSize="9" scale="70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65"/>
  <sheetViews>
    <sheetView topLeftCell="A232" workbookViewId="0">
      <selection activeCell="B257" sqref="B257"/>
    </sheetView>
  </sheetViews>
  <sheetFormatPr defaultColWidth="9" defaultRowHeight="13.5"/>
  <cols>
    <col min="1" max="2" width="11" customWidth="1"/>
    <col min="7" max="7" width="13.775" customWidth="1"/>
  </cols>
  <sheetData>
    <row r="1" spans="1:1">
      <c r="A1" t="s">
        <v>14</v>
      </c>
    </row>
    <row r="2" spans="1:19">
      <c r="A2" s="23" t="s">
        <v>285</v>
      </c>
      <c r="B2" s="23" t="s">
        <v>686</v>
      </c>
      <c r="C2" s="24" t="s">
        <v>595</v>
      </c>
      <c r="D2" s="24" t="s">
        <v>393</v>
      </c>
      <c r="E2" s="23" t="s">
        <v>292</v>
      </c>
      <c r="F2" s="24" t="s">
        <v>175</v>
      </c>
      <c r="G2" s="24" t="s">
        <v>395</v>
      </c>
      <c r="H2" s="24" t="s">
        <v>687</v>
      </c>
      <c r="I2" s="24" t="s">
        <v>688</v>
      </c>
      <c r="J2" s="30" t="s">
        <v>689</v>
      </c>
      <c r="K2" s="23" t="s">
        <v>690</v>
      </c>
      <c r="L2" s="31" t="s">
        <v>691</v>
      </c>
      <c r="M2" s="31" t="s">
        <v>691</v>
      </c>
      <c r="N2" s="24" t="s">
        <v>692</v>
      </c>
      <c r="O2" s="24" t="s">
        <v>693</v>
      </c>
      <c r="P2" s="24" t="s">
        <v>694</v>
      </c>
      <c r="Q2" s="24" t="s">
        <v>662</v>
      </c>
      <c r="R2" s="24" t="s">
        <v>695</v>
      </c>
      <c r="S2" s="37" t="s">
        <v>397</v>
      </c>
    </row>
    <row r="3" spans="1:19">
      <c r="A3" s="25">
        <v>1</v>
      </c>
      <c r="B3" s="25" t="s">
        <v>106</v>
      </c>
      <c r="C3" s="25" t="s">
        <v>696</v>
      </c>
      <c r="D3" s="25" t="s">
        <v>441</v>
      </c>
      <c r="E3" s="26" t="s">
        <v>35</v>
      </c>
      <c r="F3" s="26" t="s">
        <v>229</v>
      </c>
      <c r="G3" s="25" t="s">
        <v>415</v>
      </c>
      <c r="H3" s="26">
        <v>1</v>
      </c>
      <c r="I3" s="26">
        <v>160</v>
      </c>
      <c r="J3" s="26"/>
      <c r="K3" s="32"/>
      <c r="L3" s="33">
        <v>2336</v>
      </c>
      <c r="M3" s="33">
        <v>2000</v>
      </c>
      <c r="N3" s="34">
        <v>44355</v>
      </c>
      <c r="O3" s="35">
        <v>44365</v>
      </c>
      <c r="P3" s="35">
        <v>44380</v>
      </c>
      <c r="Q3" s="26" t="s">
        <v>418</v>
      </c>
      <c r="R3" s="26"/>
      <c r="S3" s="36"/>
    </row>
    <row r="4" spans="1:19">
      <c r="A4" s="27">
        <v>2</v>
      </c>
      <c r="B4" s="27" t="s">
        <v>107</v>
      </c>
      <c r="C4" s="25" t="s">
        <v>696</v>
      </c>
      <c r="D4" s="25" t="s">
        <v>441</v>
      </c>
      <c r="E4" s="26" t="s">
        <v>35</v>
      </c>
      <c r="F4" s="26" t="s">
        <v>229</v>
      </c>
      <c r="G4" s="25" t="s">
        <v>415</v>
      </c>
      <c r="H4" s="26">
        <v>2</v>
      </c>
      <c r="I4" s="26">
        <v>250</v>
      </c>
      <c r="J4" s="26"/>
      <c r="K4" s="36" t="s">
        <v>401</v>
      </c>
      <c r="L4" s="33">
        <v>8229.33333333334</v>
      </c>
      <c r="M4" s="33">
        <v>20000</v>
      </c>
      <c r="N4" s="35">
        <v>44264</v>
      </c>
      <c r="O4" s="35">
        <v>44264</v>
      </c>
      <c r="P4" s="35">
        <v>44280</v>
      </c>
      <c r="Q4" s="38" t="s">
        <v>418</v>
      </c>
      <c r="R4" s="26"/>
      <c r="S4" s="36"/>
    </row>
    <row r="5" spans="1:19">
      <c r="A5" s="25">
        <v>3</v>
      </c>
      <c r="B5" s="27" t="s">
        <v>108</v>
      </c>
      <c r="C5" s="25" t="s">
        <v>696</v>
      </c>
      <c r="D5" s="25" t="s">
        <v>441</v>
      </c>
      <c r="E5" s="26" t="s">
        <v>35</v>
      </c>
      <c r="F5" s="26" t="s">
        <v>229</v>
      </c>
      <c r="G5" s="25" t="s">
        <v>415</v>
      </c>
      <c r="H5" s="26">
        <v>2</v>
      </c>
      <c r="I5" s="26">
        <v>160</v>
      </c>
      <c r="J5" s="26"/>
      <c r="K5" s="36" t="s">
        <v>401</v>
      </c>
      <c r="L5" s="33">
        <v>33620.0000000001</v>
      </c>
      <c r="M5" s="33">
        <v>20000</v>
      </c>
      <c r="N5" s="35">
        <v>44264</v>
      </c>
      <c r="O5" s="35">
        <v>44357</v>
      </c>
      <c r="P5" s="35">
        <v>44272</v>
      </c>
      <c r="Q5" s="38" t="s">
        <v>418</v>
      </c>
      <c r="R5" s="26"/>
      <c r="S5" s="36" t="s">
        <v>697</v>
      </c>
    </row>
    <row r="6" spans="1:19">
      <c r="A6" s="27">
        <v>4</v>
      </c>
      <c r="B6" s="26" t="s">
        <v>109</v>
      </c>
      <c r="C6" s="25" t="s">
        <v>696</v>
      </c>
      <c r="D6" s="25" t="s">
        <v>441</v>
      </c>
      <c r="E6" s="26" t="s">
        <v>35</v>
      </c>
      <c r="F6" s="26" t="s">
        <v>698</v>
      </c>
      <c r="G6" s="25" t="s">
        <v>422</v>
      </c>
      <c r="H6" s="26">
        <v>2</v>
      </c>
      <c r="I6" s="26">
        <v>160</v>
      </c>
      <c r="J6" s="26"/>
      <c r="K6" s="32"/>
      <c r="L6" s="33">
        <v>5736.33333333333</v>
      </c>
      <c r="M6" s="33">
        <v>1250</v>
      </c>
      <c r="N6" s="35">
        <v>44266</v>
      </c>
      <c r="O6" s="35">
        <v>44371</v>
      </c>
      <c r="P6" s="35"/>
      <c r="Q6" s="26"/>
      <c r="R6" s="26"/>
      <c r="S6" s="36"/>
    </row>
    <row r="7" spans="1:19">
      <c r="A7" s="25">
        <v>5</v>
      </c>
      <c r="B7" s="27" t="s">
        <v>110</v>
      </c>
      <c r="C7" s="25" t="s">
        <v>696</v>
      </c>
      <c r="D7" s="25" t="s">
        <v>441</v>
      </c>
      <c r="E7" s="26" t="s">
        <v>35</v>
      </c>
      <c r="F7" s="26" t="s">
        <v>229</v>
      </c>
      <c r="G7" s="25" t="s">
        <v>415</v>
      </c>
      <c r="H7" s="26">
        <v>1</v>
      </c>
      <c r="I7" s="26">
        <v>160</v>
      </c>
      <c r="J7" s="26"/>
      <c r="K7" s="32"/>
      <c r="L7" s="33">
        <v>3072</v>
      </c>
      <c r="M7" s="33">
        <v>4000</v>
      </c>
      <c r="N7" s="35">
        <v>44266</v>
      </c>
      <c r="O7" s="35">
        <v>44271</v>
      </c>
      <c r="P7" s="35">
        <v>44285</v>
      </c>
      <c r="Q7" s="38" t="s">
        <v>418</v>
      </c>
      <c r="R7" s="26"/>
      <c r="S7" s="36" t="s">
        <v>699</v>
      </c>
    </row>
    <row r="8" spans="1:19">
      <c r="A8" s="27">
        <v>6</v>
      </c>
      <c r="B8" s="27" t="s">
        <v>111</v>
      </c>
      <c r="C8" s="25" t="s">
        <v>696</v>
      </c>
      <c r="D8" s="25" t="s">
        <v>441</v>
      </c>
      <c r="E8" s="26" t="s">
        <v>35</v>
      </c>
      <c r="F8" s="26" t="s">
        <v>229</v>
      </c>
      <c r="G8" s="25" t="s">
        <v>415</v>
      </c>
      <c r="H8" s="26">
        <v>1</v>
      </c>
      <c r="I8" s="26">
        <v>160</v>
      </c>
      <c r="J8" s="26"/>
      <c r="K8" s="32"/>
      <c r="L8" s="33">
        <v>1416</v>
      </c>
      <c r="M8" s="33">
        <v>2000</v>
      </c>
      <c r="N8" s="35">
        <v>44264</v>
      </c>
      <c r="O8" s="35">
        <v>44264</v>
      </c>
      <c r="P8" s="35">
        <v>44267</v>
      </c>
      <c r="Q8" s="38" t="s">
        <v>418</v>
      </c>
      <c r="R8" s="26"/>
      <c r="S8" s="36"/>
    </row>
    <row r="9" spans="1:19">
      <c r="A9" s="25">
        <v>7</v>
      </c>
      <c r="B9" s="26" t="s">
        <v>700</v>
      </c>
      <c r="C9" s="25" t="s">
        <v>696</v>
      </c>
      <c r="D9" s="25" t="s">
        <v>441</v>
      </c>
      <c r="E9" s="26" t="s">
        <v>35</v>
      </c>
      <c r="F9" s="26" t="s">
        <v>229</v>
      </c>
      <c r="G9" s="25" t="s">
        <v>415</v>
      </c>
      <c r="H9" s="26">
        <v>2</v>
      </c>
      <c r="I9" s="26">
        <v>160</v>
      </c>
      <c r="J9" s="26"/>
      <c r="K9" s="32"/>
      <c r="L9" s="33">
        <v>6406</v>
      </c>
      <c r="M9" s="33">
        <v>13333</v>
      </c>
      <c r="N9" s="35">
        <v>44266</v>
      </c>
      <c r="O9" s="35">
        <v>44271</v>
      </c>
      <c r="P9" s="35">
        <v>44285</v>
      </c>
      <c r="Q9" s="38" t="s">
        <v>418</v>
      </c>
      <c r="R9" s="26"/>
      <c r="S9" s="36" t="s">
        <v>699</v>
      </c>
    </row>
    <row r="10" spans="1:19">
      <c r="A10" s="27">
        <v>8</v>
      </c>
      <c r="B10" s="27" t="s">
        <v>112</v>
      </c>
      <c r="C10" s="25" t="s">
        <v>696</v>
      </c>
      <c r="D10" s="25" t="s">
        <v>441</v>
      </c>
      <c r="E10" s="26" t="s">
        <v>35</v>
      </c>
      <c r="F10" s="26" t="s">
        <v>229</v>
      </c>
      <c r="G10" s="25" t="s">
        <v>415</v>
      </c>
      <c r="H10" s="26">
        <v>2</v>
      </c>
      <c r="I10" s="26">
        <v>250</v>
      </c>
      <c r="J10" s="26"/>
      <c r="K10" s="32"/>
      <c r="L10" s="33">
        <v>44557.2666666667</v>
      </c>
      <c r="M10" s="33">
        <v>50000</v>
      </c>
      <c r="N10" s="35">
        <v>44264</v>
      </c>
      <c r="O10" s="35">
        <v>44264</v>
      </c>
      <c r="P10" s="35">
        <v>44272</v>
      </c>
      <c r="Q10" s="38" t="s">
        <v>418</v>
      </c>
      <c r="R10" s="26"/>
      <c r="S10" s="36"/>
    </row>
    <row r="11" spans="1:19">
      <c r="A11" s="25">
        <v>9</v>
      </c>
      <c r="B11" s="27" t="s">
        <v>113</v>
      </c>
      <c r="C11" s="25" t="s">
        <v>696</v>
      </c>
      <c r="D11" s="25" t="s">
        <v>441</v>
      </c>
      <c r="E11" s="26" t="s">
        <v>35</v>
      </c>
      <c r="F11" s="26" t="s">
        <v>229</v>
      </c>
      <c r="G11" s="25" t="s">
        <v>415</v>
      </c>
      <c r="H11" s="26">
        <v>1</v>
      </c>
      <c r="I11" s="26">
        <v>160</v>
      </c>
      <c r="J11" s="26"/>
      <c r="K11" s="32"/>
      <c r="L11" s="33">
        <v>6402.00000000001</v>
      </c>
      <c r="M11" s="33">
        <v>6000</v>
      </c>
      <c r="N11" s="35">
        <v>44266</v>
      </c>
      <c r="O11" s="35">
        <v>44296</v>
      </c>
      <c r="P11" s="35">
        <v>44302</v>
      </c>
      <c r="Q11" s="38" t="s">
        <v>418</v>
      </c>
      <c r="R11" s="26"/>
      <c r="S11" s="36" t="s">
        <v>699</v>
      </c>
    </row>
    <row r="12" spans="1:19">
      <c r="A12" s="27">
        <v>10</v>
      </c>
      <c r="B12" s="26" t="s">
        <v>114</v>
      </c>
      <c r="C12" s="25" t="s">
        <v>696</v>
      </c>
      <c r="D12" s="25" t="s">
        <v>441</v>
      </c>
      <c r="E12" s="26" t="s">
        <v>35</v>
      </c>
      <c r="F12" s="26" t="s">
        <v>701</v>
      </c>
      <c r="G12" s="25" t="s">
        <v>415</v>
      </c>
      <c r="H12" s="26">
        <v>2</v>
      </c>
      <c r="I12" s="26">
        <v>160</v>
      </c>
      <c r="J12" s="26"/>
      <c r="K12" s="32"/>
      <c r="L12" s="33">
        <v>1807.4</v>
      </c>
      <c r="M12" s="33">
        <v>1666</v>
      </c>
      <c r="N12" s="35">
        <v>44266</v>
      </c>
      <c r="O12" s="35">
        <v>44365</v>
      </c>
      <c r="P12" s="35">
        <v>44389</v>
      </c>
      <c r="Q12" s="26" t="s">
        <v>418</v>
      </c>
      <c r="R12" s="26"/>
      <c r="S12" s="36"/>
    </row>
    <row r="13" spans="1:19">
      <c r="A13" s="25">
        <v>11</v>
      </c>
      <c r="B13" s="26" t="s">
        <v>115</v>
      </c>
      <c r="C13" s="25" t="s">
        <v>696</v>
      </c>
      <c r="D13" s="25" t="s">
        <v>441</v>
      </c>
      <c r="E13" s="26" t="s">
        <v>35</v>
      </c>
      <c r="F13" s="26" t="s">
        <v>229</v>
      </c>
      <c r="G13" s="25" t="s">
        <v>422</v>
      </c>
      <c r="H13" s="26">
        <v>2</v>
      </c>
      <c r="I13" s="26">
        <v>160</v>
      </c>
      <c r="J13" s="26"/>
      <c r="K13" s="32"/>
      <c r="L13" s="33">
        <v>13221.9333333333</v>
      </c>
      <c r="M13" s="33">
        <v>15000</v>
      </c>
      <c r="N13" s="35">
        <v>44266</v>
      </c>
      <c r="O13" s="35">
        <v>44357</v>
      </c>
      <c r="P13" s="35"/>
      <c r="Q13" s="26"/>
      <c r="R13" s="26"/>
      <c r="S13" s="36"/>
    </row>
    <row r="14" spans="1:19">
      <c r="A14" s="27">
        <v>12</v>
      </c>
      <c r="B14" s="26" t="s">
        <v>454</v>
      </c>
      <c r="C14" s="25" t="s">
        <v>696</v>
      </c>
      <c r="D14" s="25" t="s">
        <v>441</v>
      </c>
      <c r="E14" s="26" t="s">
        <v>35</v>
      </c>
      <c r="F14" s="26" t="s">
        <v>229</v>
      </c>
      <c r="G14" s="25" t="s">
        <v>422</v>
      </c>
      <c r="H14" s="26">
        <v>2</v>
      </c>
      <c r="I14" s="26">
        <v>160</v>
      </c>
      <c r="J14" s="26"/>
      <c r="K14" s="32"/>
      <c r="L14" s="33">
        <v>0</v>
      </c>
      <c r="M14" s="33">
        <v>2000</v>
      </c>
      <c r="N14" s="35">
        <v>44265</v>
      </c>
      <c r="O14" s="35">
        <v>44265</v>
      </c>
      <c r="P14" s="35"/>
      <c r="Q14" s="26"/>
      <c r="R14" s="26"/>
      <c r="S14" s="36"/>
    </row>
    <row r="15" spans="1:19">
      <c r="A15" s="25">
        <v>13</v>
      </c>
      <c r="B15" s="26" t="s">
        <v>116</v>
      </c>
      <c r="C15" s="25" t="s">
        <v>696</v>
      </c>
      <c r="D15" s="25" t="s">
        <v>441</v>
      </c>
      <c r="E15" s="26" t="s">
        <v>35</v>
      </c>
      <c r="F15" s="26" t="s">
        <v>229</v>
      </c>
      <c r="G15" s="25" t="s">
        <v>415</v>
      </c>
      <c r="H15" s="26">
        <v>2</v>
      </c>
      <c r="I15" s="26">
        <v>160</v>
      </c>
      <c r="J15" s="26"/>
      <c r="K15" s="32"/>
      <c r="L15" s="33">
        <v>8076.4</v>
      </c>
      <c r="M15" s="33">
        <v>13333</v>
      </c>
      <c r="N15" s="35">
        <v>44266</v>
      </c>
      <c r="O15" s="35">
        <v>44357</v>
      </c>
      <c r="P15" s="35">
        <v>44371</v>
      </c>
      <c r="Q15" s="26" t="s">
        <v>418</v>
      </c>
      <c r="R15" s="26"/>
      <c r="S15" s="36"/>
    </row>
    <row r="16" spans="1:19">
      <c r="A16" s="27">
        <v>14</v>
      </c>
      <c r="B16" s="27" t="s">
        <v>253</v>
      </c>
      <c r="C16" s="25" t="s">
        <v>696</v>
      </c>
      <c r="D16" s="25" t="s">
        <v>441</v>
      </c>
      <c r="E16" s="26" t="s">
        <v>35</v>
      </c>
      <c r="F16" s="26" t="s">
        <v>229</v>
      </c>
      <c r="G16" s="25" t="s">
        <v>415</v>
      </c>
      <c r="H16" s="26">
        <v>2</v>
      </c>
      <c r="I16" s="26">
        <v>160</v>
      </c>
      <c r="J16" s="26"/>
      <c r="K16" s="32"/>
      <c r="L16" s="33">
        <v>777.333333333333</v>
      </c>
      <c r="M16" s="33">
        <v>3000</v>
      </c>
      <c r="N16" s="35">
        <v>44265</v>
      </c>
      <c r="O16" s="35">
        <v>44265</v>
      </c>
      <c r="P16" s="35">
        <v>44280</v>
      </c>
      <c r="Q16" s="38" t="s">
        <v>418</v>
      </c>
      <c r="R16" s="26"/>
      <c r="S16" s="36"/>
    </row>
    <row r="17" spans="1:19">
      <c r="A17" s="25">
        <v>15</v>
      </c>
      <c r="B17" s="27" t="s">
        <v>117</v>
      </c>
      <c r="C17" s="25" t="s">
        <v>696</v>
      </c>
      <c r="D17" s="25" t="s">
        <v>441</v>
      </c>
      <c r="E17" s="26" t="s">
        <v>35</v>
      </c>
      <c r="F17" s="26" t="s">
        <v>229</v>
      </c>
      <c r="G17" s="25" t="s">
        <v>415</v>
      </c>
      <c r="H17" s="26">
        <v>2</v>
      </c>
      <c r="I17" s="26">
        <v>160</v>
      </c>
      <c r="J17" s="26"/>
      <c r="K17" s="32"/>
      <c r="L17" s="33">
        <v>833.333333333333</v>
      </c>
      <c r="M17" s="33">
        <v>3000</v>
      </c>
      <c r="N17" s="35">
        <v>44265</v>
      </c>
      <c r="O17" s="35">
        <v>44265</v>
      </c>
      <c r="P17" s="35">
        <v>44280</v>
      </c>
      <c r="Q17" s="38" t="s">
        <v>418</v>
      </c>
      <c r="R17" s="26"/>
      <c r="S17" s="36"/>
    </row>
    <row r="18" spans="1:19">
      <c r="A18" s="27">
        <v>16</v>
      </c>
      <c r="B18" s="27" t="s">
        <v>118</v>
      </c>
      <c r="C18" s="25" t="s">
        <v>696</v>
      </c>
      <c r="D18" s="25" t="s">
        <v>441</v>
      </c>
      <c r="E18" s="26" t="s">
        <v>35</v>
      </c>
      <c r="F18" s="26" t="s">
        <v>229</v>
      </c>
      <c r="G18" s="25" t="s">
        <v>415</v>
      </c>
      <c r="H18" s="26">
        <v>2</v>
      </c>
      <c r="I18" s="26">
        <v>160</v>
      </c>
      <c r="J18" s="26"/>
      <c r="K18" s="32"/>
      <c r="L18" s="33">
        <v>8075.46666666667</v>
      </c>
      <c r="M18" s="33">
        <v>3000</v>
      </c>
      <c r="N18" s="35">
        <v>44264</v>
      </c>
      <c r="O18" s="35">
        <v>44264</v>
      </c>
      <c r="P18" s="35">
        <v>44280</v>
      </c>
      <c r="Q18" s="38" t="s">
        <v>418</v>
      </c>
      <c r="R18" s="26"/>
      <c r="S18" s="36"/>
    </row>
    <row r="19" spans="1:19">
      <c r="A19" s="25">
        <v>17</v>
      </c>
      <c r="B19" s="27" t="s">
        <v>119</v>
      </c>
      <c r="C19" s="25" t="s">
        <v>696</v>
      </c>
      <c r="D19" s="25" t="s">
        <v>441</v>
      </c>
      <c r="E19" s="26" t="s">
        <v>35</v>
      </c>
      <c r="F19" s="26" t="s">
        <v>229</v>
      </c>
      <c r="G19" s="25" t="s">
        <v>415</v>
      </c>
      <c r="H19" s="26">
        <v>1</v>
      </c>
      <c r="I19" s="26">
        <v>160</v>
      </c>
      <c r="J19" s="26"/>
      <c r="K19" s="32"/>
      <c r="L19" s="33">
        <v>4193.33333333333</v>
      </c>
      <c r="M19" s="33">
        <v>10000</v>
      </c>
      <c r="N19" s="35">
        <v>44264</v>
      </c>
      <c r="O19" s="35">
        <v>44264</v>
      </c>
      <c r="P19" s="35">
        <v>44301</v>
      </c>
      <c r="Q19" s="38" t="s">
        <v>418</v>
      </c>
      <c r="R19" s="26"/>
      <c r="S19" s="36"/>
    </row>
    <row r="20" spans="1:19">
      <c r="A20" s="27">
        <v>18</v>
      </c>
      <c r="B20" s="27" t="s">
        <v>120</v>
      </c>
      <c r="C20" s="25" t="s">
        <v>696</v>
      </c>
      <c r="D20" s="25" t="s">
        <v>441</v>
      </c>
      <c r="E20" s="28" t="s">
        <v>33</v>
      </c>
      <c r="F20" s="26" t="s">
        <v>229</v>
      </c>
      <c r="G20" s="25" t="s">
        <v>415</v>
      </c>
      <c r="H20" s="26">
        <v>2</v>
      </c>
      <c r="I20" s="26">
        <v>160</v>
      </c>
      <c r="J20" s="26"/>
      <c r="K20" s="32"/>
      <c r="L20" s="33">
        <v>21896</v>
      </c>
      <c r="M20" s="33">
        <v>20000</v>
      </c>
      <c r="N20" s="35">
        <v>44264</v>
      </c>
      <c r="O20" s="35">
        <v>44298</v>
      </c>
      <c r="P20" s="35">
        <v>44322</v>
      </c>
      <c r="Q20" s="38" t="s">
        <v>418</v>
      </c>
      <c r="R20" s="26"/>
      <c r="S20" s="36" t="s">
        <v>702</v>
      </c>
    </row>
    <row r="21" spans="1:19">
      <c r="A21" s="25">
        <v>19</v>
      </c>
      <c r="B21" s="27" t="s">
        <v>121</v>
      </c>
      <c r="C21" s="25" t="s">
        <v>696</v>
      </c>
      <c r="D21" s="25" t="s">
        <v>441</v>
      </c>
      <c r="E21" s="28" t="s">
        <v>33</v>
      </c>
      <c r="F21" s="26" t="s">
        <v>229</v>
      </c>
      <c r="G21" s="25" t="s">
        <v>415</v>
      </c>
      <c r="H21" s="26">
        <v>2</v>
      </c>
      <c r="I21" s="26">
        <v>160</v>
      </c>
      <c r="J21" s="26"/>
      <c r="K21" s="32"/>
      <c r="L21" s="33">
        <v>21172</v>
      </c>
      <c r="M21" s="33">
        <v>10000</v>
      </c>
      <c r="N21" s="35">
        <v>44277</v>
      </c>
      <c r="O21" s="35">
        <v>44298</v>
      </c>
      <c r="P21" s="35">
        <v>44322</v>
      </c>
      <c r="Q21" s="38" t="s">
        <v>418</v>
      </c>
      <c r="R21" s="26"/>
      <c r="S21" s="36"/>
    </row>
    <row r="22" spans="1:19">
      <c r="A22" s="27">
        <v>20</v>
      </c>
      <c r="B22" s="25" t="s">
        <v>102</v>
      </c>
      <c r="C22" s="25" t="s">
        <v>696</v>
      </c>
      <c r="D22" s="25" t="s">
        <v>410</v>
      </c>
      <c r="E22" s="26" t="s">
        <v>52</v>
      </c>
      <c r="F22" s="26" t="s">
        <v>229</v>
      </c>
      <c r="G22" s="25" t="s">
        <v>422</v>
      </c>
      <c r="H22" s="26">
        <v>2</v>
      </c>
      <c r="I22" s="26">
        <v>250</v>
      </c>
      <c r="J22" s="26"/>
      <c r="K22" s="36" t="s">
        <v>401</v>
      </c>
      <c r="L22" s="33">
        <v>0</v>
      </c>
      <c r="M22" s="33">
        <v>26577</v>
      </c>
      <c r="N22" s="34">
        <v>44354</v>
      </c>
      <c r="O22" s="35">
        <v>44354</v>
      </c>
      <c r="P22" s="35"/>
      <c r="Q22" s="26"/>
      <c r="R22" s="26"/>
      <c r="S22" s="36"/>
    </row>
    <row r="23" spans="1:19">
      <c r="A23" s="25">
        <v>21</v>
      </c>
      <c r="B23" s="26" t="s">
        <v>64</v>
      </c>
      <c r="C23" s="25" t="s">
        <v>696</v>
      </c>
      <c r="D23" s="25" t="s">
        <v>414</v>
      </c>
      <c r="E23" s="26" t="s">
        <v>52</v>
      </c>
      <c r="F23" s="26" t="s">
        <v>229</v>
      </c>
      <c r="G23" s="25" t="s">
        <v>415</v>
      </c>
      <c r="H23" s="26">
        <v>2</v>
      </c>
      <c r="I23" s="26">
        <v>250</v>
      </c>
      <c r="J23" s="26"/>
      <c r="K23" s="36" t="s">
        <v>401</v>
      </c>
      <c r="L23" s="33">
        <v>44511.2</v>
      </c>
      <c r="M23" s="33">
        <v>44511.2</v>
      </c>
      <c r="N23" s="35">
        <v>44355</v>
      </c>
      <c r="O23" s="35">
        <v>44358</v>
      </c>
      <c r="P23" s="35">
        <v>44364</v>
      </c>
      <c r="Q23" s="38" t="s">
        <v>418</v>
      </c>
      <c r="R23" s="26"/>
      <c r="S23" s="36" t="s">
        <v>703</v>
      </c>
    </row>
    <row r="24" spans="1:19">
      <c r="A24" s="27">
        <v>22</v>
      </c>
      <c r="B24" s="26" t="s">
        <v>65</v>
      </c>
      <c r="C24" s="25" t="s">
        <v>696</v>
      </c>
      <c r="D24" s="25" t="s">
        <v>414</v>
      </c>
      <c r="E24" s="26" t="s">
        <v>52</v>
      </c>
      <c r="F24" s="26" t="s">
        <v>229</v>
      </c>
      <c r="G24" s="25" t="s">
        <v>415</v>
      </c>
      <c r="H24" s="26">
        <v>2</v>
      </c>
      <c r="I24" s="26" t="s">
        <v>704</v>
      </c>
      <c r="J24" s="26"/>
      <c r="K24" s="36" t="s">
        <v>401</v>
      </c>
      <c r="L24" s="33">
        <v>17622.4</v>
      </c>
      <c r="M24" s="33">
        <v>35000</v>
      </c>
      <c r="N24" s="35">
        <v>44355</v>
      </c>
      <c r="O24" s="35">
        <v>44358</v>
      </c>
      <c r="P24" s="35">
        <v>44363</v>
      </c>
      <c r="Q24" s="38" t="s">
        <v>418</v>
      </c>
      <c r="R24" s="26"/>
      <c r="S24" s="36" t="s">
        <v>419</v>
      </c>
    </row>
    <row r="25" spans="1:19">
      <c r="A25" s="25">
        <v>23</v>
      </c>
      <c r="B25" s="25" t="s">
        <v>237</v>
      </c>
      <c r="C25" s="25" t="s">
        <v>696</v>
      </c>
      <c r="D25" s="25" t="s">
        <v>441</v>
      </c>
      <c r="E25" s="26" t="s">
        <v>37</v>
      </c>
      <c r="F25" s="26" t="s">
        <v>229</v>
      </c>
      <c r="G25" s="25" t="s">
        <v>415</v>
      </c>
      <c r="H25" s="26">
        <v>1</v>
      </c>
      <c r="I25" s="26">
        <v>160</v>
      </c>
      <c r="J25" s="26"/>
      <c r="K25" s="32"/>
      <c r="L25" s="33">
        <v>958.333333333333</v>
      </c>
      <c r="M25" s="33">
        <v>1000</v>
      </c>
      <c r="N25" s="34">
        <v>44354</v>
      </c>
      <c r="O25" s="35">
        <v>44359</v>
      </c>
      <c r="P25" s="35">
        <v>44373</v>
      </c>
      <c r="Q25" s="26" t="s">
        <v>418</v>
      </c>
      <c r="R25" s="26"/>
      <c r="S25" s="36"/>
    </row>
    <row r="26" spans="1:19">
      <c r="A26" s="27">
        <v>24</v>
      </c>
      <c r="B26" s="27" t="s">
        <v>705</v>
      </c>
      <c r="C26" s="25" t="s">
        <v>696</v>
      </c>
      <c r="D26" s="25" t="s">
        <v>441</v>
      </c>
      <c r="E26" s="26" t="s">
        <v>37</v>
      </c>
      <c r="F26" s="26" t="s">
        <v>229</v>
      </c>
      <c r="G26" s="25" t="s">
        <v>415</v>
      </c>
      <c r="H26" s="26">
        <v>2</v>
      </c>
      <c r="I26" s="26">
        <v>160</v>
      </c>
      <c r="J26" s="26"/>
      <c r="K26" s="32"/>
      <c r="L26" s="33">
        <v>380</v>
      </c>
      <c r="M26" s="33">
        <v>1000</v>
      </c>
      <c r="N26" s="35">
        <v>44197</v>
      </c>
      <c r="O26" s="35">
        <v>44198</v>
      </c>
      <c r="P26" s="35">
        <v>44202</v>
      </c>
      <c r="Q26" s="38" t="s">
        <v>418</v>
      </c>
      <c r="R26" s="26"/>
      <c r="S26" s="36"/>
    </row>
    <row r="27" spans="1:19">
      <c r="A27" s="25">
        <v>25</v>
      </c>
      <c r="B27" s="27" t="s">
        <v>122</v>
      </c>
      <c r="C27" s="25" t="s">
        <v>696</v>
      </c>
      <c r="D27" s="25" t="s">
        <v>441</v>
      </c>
      <c r="E27" s="26" t="s">
        <v>37</v>
      </c>
      <c r="F27" s="26" t="s">
        <v>229</v>
      </c>
      <c r="G27" s="25" t="s">
        <v>415</v>
      </c>
      <c r="H27" s="26">
        <v>2</v>
      </c>
      <c r="I27" s="26">
        <v>250</v>
      </c>
      <c r="J27" s="26"/>
      <c r="K27" s="32"/>
      <c r="L27" s="33">
        <v>3648</v>
      </c>
      <c r="M27" s="33">
        <v>10000</v>
      </c>
      <c r="N27" s="35">
        <v>44197</v>
      </c>
      <c r="O27" s="35">
        <v>44198</v>
      </c>
      <c r="P27" s="35">
        <v>44202</v>
      </c>
      <c r="Q27" s="38" t="s">
        <v>418</v>
      </c>
      <c r="R27" s="26"/>
      <c r="S27" s="36"/>
    </row>
    <row r="28" spans="1:19">
      <c r="A28" s="27">
        <v>26</v>
      </c>
      <c r="B28" s="28" t="s">
        <v>706</v>
      </c>
      <c r="C28" s="25" t="s">
        <v>696</v>
      </c>
      <c r="D28" s="25" t="s">
        <v>441</v>
      </c>
      <c r="E28" s="26" t="s">
        <v>37</v>
      </c>
      <c r="F28" s="26" t="s">
        <v>229</v>
      </c>
      <c r="G28" s="25" t="s">
        <v>707</v>
      </c>
      <c r="H28" s="26"/>
      <c r="I28" s="26"/>
      <c r="J28" s="26"/>
      <c r="K28" s="32"/>
      <c r="L28" s="33">
        <v>3084.2</v>
      </c>
      <c r="M28" s="33">
        <v>12000</v>
      </c>
      <c r="N28" s="35">
        <v>1</v>
      </c>
      <c r="O28" s="35">
        <v>1</v>
      </c>
      <c r="P28" s="35">
        <v>1</v>
      </c>
      <c r="Q28" s="26" t="s">
        <v>418</v>
      </c>
      <c r="R28" s="26"/>
      <c r="S28" s="36"/>
    </row>
    <row r="29" spans="1:19">
      <c r="A29" s="25">
        <v>27</v>
      </c>
      <c r="B29" s="27" t="s">
        <v>230</v>
      </c>
      <c r="C29" s="25" t="s">
        <v>696</v>
      </c>
      <c r="D29" s="25" t="s">
        <v>441</v>
      </c>
      <c r="E29" s="26" t="s">
        <v>37</v>
      </c>
      <c r="F29" s="26" t="s">
        <v>229</v>
      </c>
      <c r="G29" s="25" t="s">
        <v>415</v>
      </c>
      <c r="H29" s="26">
        <v>1</v>
      </c>
      <c r="I29" s="26">
        <v>160</v>
      </c>
      <c r="J29" s="26"/>
      <c r="K29" s="32"/>
      <c r="L29" s="33">
        <v>1411.2</v>
      </c>
      <c r="M29" s="33">
        <v>2000</v>
      </c>
      <c r="N29" s="35">
        <v>44314</v>
      </c>
      <c r="O29" s="35">
        <v>44270</v>
      </c>
      <c r="P29" s="35">
        <v>44345</v>
      </c>
      <c r="Q29" s="38" t="s">
        <v>418</v>
      </c>
      <c r="R29" s="26"/>
      <c r="S29" s="36"/>
    </row>
    <row r="30" spans="1:19">
      <c r="A30" s="27">
        <v>28</v>
      </c>
      <c r="B30" s="27" t="s">
        <v>123</v>
      </c>
      <c r="C30" s="25" t="s">
        <v>696</v>
      </c>
      <c r="D30" s="25" t="s">
        <v>441</v>
      </c>
      <c r="E30" s="26" t="s">
        <v>37</v>
      </c>
      <c r="F30" s="26" t="s">
        <v>229</v>
      </c>
      <c r="G30" s="25" t="s">
        <v>415</v>
      </c>
      <c r="H30" s="26">
        <v>1</v>
      </c>
      <c r="I30" s="26">
        <v>160</v>
      </c>
      <c r="J30" s="26"/>
      <c r="K30" s="32"/>
      <c r="L30" s="33">
        <v>12133.5</v>
      </c>
      <c r="M30" s="33">
        <v>30000</v>
      </c>
      <c r="N30" s="35">
        <v>44314</v>
      </c>
      <c r="O30" s="35">
        <v>44332</v>
      </c>
      <c r="P30" s="35">
        <v>44344</v>
      </c>
      <c r="Q30" s="26" t="s">
        <v>418</v>
      </c>
      <c r="R30" s="26"/>
      <c r="S30" s="36"/>
    </row>
    <row r="31" spans="1:19">
      <c r="A31" s="25">
        <v>29</v>
      </c>
      <c r="B31" s="27" t="s">
        <v>239</v>
      </c>
      <c r="C31" s="25" t="s">
        <v>696</v>
      </c>
      <c r="D31" s="25" t="s">
        <v>441</v>
      </c>
      <c r="E31" s="26" t="s">
        <v>37</v>
      </c>
      <c r="F31" s="26" t="s">
        <v>229</v>
      </c>
      <c r="G31" s="25" t="s">
        <v>415</v>
      </c>
      <c r="H31" s="26">
        <v>2</v>
      </c>
      <c r="I31" s="26">
        <v>160</v>
      </c>
      <c r="J31" s="26"/>
      <c r="K31" s="32"/>
      <c r="L31" s="33">
        <v>1176</v>
      </c>
      <c r="M31" s="33">
        <v>3000</v>
      </c>
      <c r="N31" s="35">
        <v>44266</v>
      </c>
      <c r="O31" s="35">
        <v>44268</v>
      </c>
      <c r="P31" s="35">
        <v>44278</v>
      </c>
      <c r="Q31" s="38" t="s">
        <v>418</v>
      </c>
      <c r="R31" s="26"/>
      <c r="S31" s="36"/>
    </row>
    <row r="32" spans="1:19">
      <c r="A32" s="27">
        <v>30</v>
      </c>
      <c r="B32" s="28" t="s">
        <v>124</v>
      </c>
      <c r="C32" s="25" t="s">
        <v>696</v>
      </c>
      <c r="D32" s="25" t="s">
        <v>441</v>
      </c>
      <c r="E32" s="26" t="s">
        <v>37</v>
      </c>
      <c r="F32" s="26" t="s">
        <v>229</v>
      </c>
      <c r="G32" s="25" t="s">
        <v>707</v>
      </c>
      <c r="H32" s="26"/>
      <c r="I32" s="26"/>
      <c r="J32" s="26"/>
      <c r="K32" s="32"/>
      <c r="L32" s="33">
        <v>18433.3333333333</v>
      </c>
      <c r="M32" s="33">
        <v>12000</v>
      </c>
      <c r="N32" s="35">
        <v>1</v>
      </c>
      <c r="O32" s="35">
        <v>1</v>
      </c>
      <c r="P32" s="35">
        <v>1</v>
      </c>
      <c r="Q32" s="26" t="s">
        <v>418</v>
      </c>
      <c r="R32" s="26"/>
      <c r="S32" s="36"/>
    </row>
    <row r="33" spans="1:19">
      <c r="A33" s="25">
        <v>31</v>
      </c>
      <c r="B33" s="27" t="s">
        <v>231</v>
      </c>
      <c r="C33" s="25" t="s">
        <v>696</v>
      </c>
      <c r="D33" s="25" t="s">
        <v>441</v>
      </c>
      <c r="E33" s="26" t="s">
        <v>37</v>
      </c>
      <c r="F33" s="26" t="s">
        <v>229</v>
      </c>
      <c r="G33" s="25" t="s">
        <v>422</v>
      </c>
      <c r="H33" s="26" t="s">
        <v>708</v>
      </c>
      <c r="I33" s="26">
        <v>160</v>
      </c>
      <c r="J33" s="26"/>
      <c r="K33" s="32"/>
      <c r="L33" s="33">
        <v>8668.8</v>
      </c>
      <c r="M33" s="33">
        <v>2000</v>
      </c>
      <c r="N33" s="35">
        <v>44264</v>
      </c>
      <c r="O33" s="35">
        <v>44343</v>
      </c>
      <c r="P33" s="35"/>
      <c r="Q33" s="26"/>
      <c r="R33" s="26"/>
      <c r="S33" s="36"/>
    </row>
    <row r="34" spans="1:19">
      <c r="A34" s="27">
        <v>32</v>
      </c>
      <c r="B34" s="28" t="s">
        <v>354</v>
      </c>
      <c r="C34" s="25" t="s">
        <v>696</v>
      </c>
      <c r="D34" s="25" t="s">
        <v>441</v>
      </c>
      <c r="E34" s="26" t="s">
        <v>37</v>
      </c>
      <c r="F34" s="26" t="s">
        <v>229</v>
      </c>
      <c r="G34" s="25" t="s">
        <v>707</v>
      </c>
      <c r="H34" s="26"/>
      <c r="I34" s="26"/>
      <c r="J34" s="26"/>
      <c r="K34" s="32"/>
      <c r="L34" s="33">
        <v>1522.5</v>
      </c>
      <c r="M34" s="33">
        <v>12000</v>
      </c>
      <c r="N34" s="35">
        <v>1</v>
      </c>
      <c r="O34" s="35">
        <v>1</v>
      </c>
      <c r="P34" s="35">
        <v>1</v>
      </c>
      <c r="Q34" s="26" t="s">
        <v>418</v>
      </c>
      <c r="R34" s="26"/>
      <c r="S34" s="36"/>
    </row>
    <row r="35" spans="1:19">
      <c r="A35" s="25">
        <v>33</v>
      </c>
      <c r="B35" s="28" t="s">
        <v>125</v>
      </c>
      <c r="C35" s="25" t="s">
        <v>696</v>
      </c>
      <c r="D35" s="25" t="s">
        <v>441</v>
      </c>
      <c r="E35" s="26" t="s">
        <v>37</v>
      </c>
      <c r="F35" s="26" t="s">
        <v>229</v>
      </c>
      <c r="G35" s="25" t="s">
        <v>707</v>
      </c>
      <c r="H35" s="26"/>
      <c r="I35" s="26"/>
      <c r="J35" s="26"/>
      <c r="K35" s="32"/>
      <c r="L35" s="33">
        <v>28837.6</v>
      </c>
      <c r="M35" s="33">
        <v>12000</v>
      </c>
      <c r="N35" s="35">
        <v>1</v>
      </c>
      <c r="O35" s="35">
        <v>1</v>
      </c>
      <c r="P35" s="35">
        <v>1</v>
      </c>
      <c r="Q35" s="26" t="s">
        <v>418</v>
      </c>
      <c r="R35" s="26"/>
      <c r="S35" s="36"/>
    </row>
    <row r="36" spans="1:19">
      <c r="A36" s="27">
        <v>34</v>
      </c>
      <c r="B36" s="27" t="s">
        <v>126</v>
      </c>
      <c r="C36" s="25" t="s">
        <v>696</v>
      </c>
      <c r="D36" s="25" t="s">
        <v>441</v>
      </c>
      <c r="E36" s="26" t="s">
        <v>37</v>
      </c>
      <c r="F36" s="26" t="s">
        <v>229</v>
      </c>
      <c r="G36" s="25" t="s">
        <v>415</v>
      </c>
      <c r="H36" s="26">
        <v>2</v>
      </c>
      <c r="I36" s="26">
        <v>160</v>
      </c>
      <c r="J36" s="26"/>
      <c r="K36" s="32"/>
      <c r="L36" s="33">
        <v>2048</v>
      </c>
      <c r="M36" s="33">
        <v>1000</v>
      </c>
      <c r="N36" s="35">
        <v>44197</v>
      </c>
      <c r="O36" s="35">
        <v>44198</v>
      </c>
      <c r="P36" s="35">
        <v>44202</v>
      </c>
      <c r="Q36" s="38" t="s">
        <v>418</v>
      </c>
      <c r="R36" s="26"/>
      <c r="S36" s="36"/>
    </row>
    <row r="37" spans="1:19">
      <c r="A37" s="25">
        <v>35</v>
      </c>
      <c r="B37" s="28" t="s">
        <v>709</v>
      </c>
      <c r="C37" s="25" t="s">
        <v>696</v>
      </c>
      <c r="D37" s="25" t="s">
        <v>441</v>
      </c>
      <c r="E37" s="26" t="s">
        <v>37</v>
      </c>
      <c r="F37" s="26" t="s">
        <v>229</v>
      </c>
      <c r="G37" s="25" t="s">
        <v>707</v>
      </c>
      <c r="H37" s="26"/>
      <c r="I37" s="26"/>
      <c r="J37" s="26"/>
      <c r="K37" s="32"/>
      <c r="L37" s="33">
        <v>3637.2</v>
      </c>
      <c r="M37" s="33">
        <v>12000</v>
      </c>
      <c r="N37" s="35">
        <v>1</v>
      </c>
      <c r="O37" s="35">
        <v>1</v>
      </c>
      <c r="P37" s="35">
        <v>1</v>
      </c>
      <c r="Q37" s="26" t="s">
        <v>418</v>
      </c>
      <c r="R37" s="26"/>
      <c r="S37" s="36"/>
    </row>
    <row r="38" spans="1:19">
      <c r="A38" s="27">
        <v>36</v>
      </c>
      <c r="B38" s="26" t="s">
        <v>710</v>
      </c>
      <c r="C38" s="25" t="s">
        <v>696</v>
      </c>
      <c r="D38" s="25" t="s">
        <v>441</v>
      </c>
      <c r="E38" s="26" t="s">
        <v>37</v>
      </c>
      <c r="F38" s="26" t="s">
        <v>229</v>
      </c>
      <c r="G38" s="25" t="s">
        <v>707</v>
      </c>
      <c r="H38" s="26"/>
      <c r="I38" s="26"/>
      <c r="J38" s="26"/>
      <c r="K38" s="32"/>
      <c r="L38" s="33">
        <v>10600</v>
      </c>
      <c r="M38" s="33">
        <v>12000</v>
      </c>
      <c r="N38" s="35">
        <v>1</v>
      </c>
      <c r="O38" s="35">
        <v>1</v>
      </c>
      <c r="P38" s="35">
        <v>1</v>
      </c>
      <c r="Q38" s="26" t="s">
        <v>418</v>
      </c>
      <c r="R38" s="26"/>
      <c r="S38" s="36"/>
    </row>
    <row r="39" spans="1:19">
      <c r="A39" s="25">
        <v>37</v>
      </c>
      <c r="B39" s="28" t="s">
        <v>127</v>
      </c>
      <c r="C39" s="25" t="s">
        <v>696</v>
      </c>
      <c r="D39" s="25" t="s">
        <v>441</v>
      </c>
      <c r="E39" s="26" t="s">
        <v>37</v>
      </c>
      <c r="F39" s="26" t="s">
        <v>229</v>
      </c>
      <c r="G39" s="25" t="s">
        <v>707</v>
      </c>
      <c r="H39" s="26"/>
      <c r="I39" s="26"/>
      <c r="J39" s="26"/>
      <c r="K39" s="32"/>
      <c r="L39" s="33">
        <v>14611.6666666667</v>
      </c>
      <c r="M39" s="33">
        <v>12000</v>
      </c>
      <c r="N39" s="35">
        <v>1</v>
      </c>
      <c r="O39" s="35">
        <v>1</v>
      </c>
      <c r="P39" s="35">
        <v>1</v>
      </c>
      <c r="Q39" s="26" t="s">
        <v>418</v>
      </c>
      <c r="R39" s="26"/>
      <c r="S39" s="36"/>
    </row>
    <row r="40" spans="1:19">
      <c r="A40" s="27">
        <v>38</v>
      </c>
      <c r="B40" s="28" t="s">
        <v>235</v>
      </c>
      <c r="C40" s="25" t="s">
        <v>696</v>
      </c>
      <c r="D40" s="25" t="s">
        <v>441</v>
      </c>
      <c r="E40" s="26" t="s">
        <v>37</v>
      </c>
      <c r="F40" s="26" t="s">
        <v>229</v>
      </c>
      <c r="G40" s="25" t="s">
        <v>707</v>
      </c>
      <c r="H40" s="26"/>
      <c r="I40" s="26"/>
      <c r="J40" s="26"/>
      <c r="K40" s="32"/>
      <c r="L40" s="33">
        <v>4386.66666666667</v>
      </c>
      <c r="M40" s="33">
        <v>12000</v>
      </c>
      <c r="N40" s="35">
        <v>1</v>
      </c>
      <c r="O40" s="35">
        <v>1</v>
      </c>
      <c r="P40" s="35">
        <v>1</v>
      </c>
      <c r="Q40" s="26" t="s">
        <v>418</v>
      </c>
      <c r="R40" s="26"/>
      <c r="S40" s="36"/>
    </row>
    <row r="41" spans="1:19">
      <c r="A41" s="25">
        <v>39</v>
      </c>
      <c r="B41" s="25" t="s">
        <v>128</v>
      </c>
      <c r="C41" s="25" t="s">
        <v>696</v>
      </c>
      <c r="D41" s="25" t="s">
        <v>441</v>
      </c>
      <c r="E41" s="26" t="s">
        <v>37</v>
      </c>
      <c r="F41" s="29" t="s">
        <v>229</v>
      </c>
      <c r="G41" s="25" t="s">
        <v>415</v>
      </c>
      <c r="H41" s="26">
        <v>1</v>
      </c>
      <c r="I41" s="26">
        <v>160</v>
      </c>
      <c r="J41" s="26"/>
      <c r="K41" s="32"/>
      <c r="L41" s="33">
        <v>3148.33333333333</v>
      </c>
      <c r="M41" s="33">
        <v>2000</v>
      </c>
      <c r="N41" s="35">
        <v>44314</v>
      </c>
      <c r="O41" s="35">
        <v>44343</v>
      </c>
      <c r="P41" s="35">
        <v>44373</v>
      </c>
      <c r="Q41" s="26" t="s">
        <v>418</v>
      </c>
      <c r="R41" s="26"/>
      <c r="S41" s="36" t="s">
        <v>711</v>
      </c>
    </row>
    <row r="42" spans="1:19">
      <c r="A42" s="27">
        <v>40</v>
      </c>
      <c r="B42" s="28" t="s">
        <v>129</v>
      </c>
      <c r="C42" s="25" t="s">
        <v>696</v>
      </c>
      <c r="D42" s="25" t="s">
        <v>441</v>
      </c>
      <c r="E42" s="26" t="s">
        <v>37</v>
      </c>
      <c r="F42" s="26" t="s">
        <v>229</v>
      </c>
      <c r="G42" s="25" t="s">
        <v>707</v>
      </c>
      <c r="H42" s="26"/>
      <c r="I42" s="26"/>
      <c r="J42" s="26"/>
      <c r="K42" s="32"/>
      <c r="L42" s="33">
        <v>24410.4</v>
      </c>
      <c r="M42" s="33">
        <v>12000</v>
      </c>
      <c r="N42" s="35">
        <v>1</v>
      </c>
      <c r="O42" s="35">
        <v>1</v>
      </c>
      <c r="P42" s="35">
        <v>1</v>
      </c>
      <c r="Q42" s="26" t="s">
        <v>418</v>
      </c>
      <c r="R42" s="26"/>
      <c r="S42" s="36"/>
    </row>
    <row r="43" spans="1:19">
      <c r="A43" s="25">
        <v>41</v>
      </c>
      <c r="B43" s="28" t="s">
        <v>234</v>
      </c>
      <c r="C43" s="25" t="s">
        <v>696</v>
      </c>
      <c r="D43" s="25" t="s">
        <v>441</v>
      </c>
      <c r="E43" s="26" t="s">
        <v>37</v>
      </c>
      <c r="F43" s="26" t="s">
        <v>229</v>
      </c>
      <c r="G43" s="25" t="s">
        <v>707</v>
      </c>
      <c r="H43" s="26"/>
      <c r="I43" s="26"/>
      <c r="J43" s="26"/>
      <c r="K43" s="32"/>
      <c r="L43" s="33">
        <v>1881.6</v>
      </c>
      <c r="M43" s="33">
        <v>12000</v>
      </c>
      <c r="N43" s="35">
        <v>1</v>
      </c>
      <c r="O43" s="35">
        <v>1</v>
      </c>
      <c r="P43" s="35">
        <v>1</v>
      </c>
      <c r="Q43" s="26" t="s">
        <v>418</v>
      </c>
      <c r="R43" s="26"/>
      <c r="S43" s="36"/>
    </row>
    <row r="44" spans="1:19">
      <c r="A44" s="27">
        <v>42</v>
      </c>
      <c r="B44" s="28" t="s">
        <v>130</v>
      </c>
      <c r="C44" s="25" t="s">
        <v>696</v>
      </c>
      <c r="D44" s="25" t="s">
        <v>441</v>
      </c>
      <c r="E44" s="26" t="s">
        <v>37</v>
      </c>
      <c r="F44" s="26" t="s">
        <v>229</v>
      </c>
      <c r="G44" s="25" t="s">
        <v>707</v>
      </c>
      <c r="H44" s="26"/>
      <c r="I44" s="26"/>
      <c r="J44" s="26"/>
      <c r="K44" s="32"/>
      <c r="L44" s="33">
        <v>2263.33333333333</v>
      </c>
      <c r="M44" s="33">
        <v>12000</v>
      </c>
      <c r="N44" s="35">
        <v>1</v>
      </c>
      <c r="O44" s="35">
        <v>1</v>
      </c>
      <c r="P44" s="35">
        <v>1</v>
      </c>
      <c r="Q44" s="26" t="s">
        <v>418</v>
      </c>
      <c r="R44" s="26"/>
      <c r="S44" s="36"/>
    </row>
    <row r="45" spans="1:19">
      <c r="A45" s="25">
        <v>43</v>
      </c>
      <c r="B45" s="27" t="s">
        <v>712</v>
      </c>
      <c r="C45" s="25" t="s">
        <v>696</v>
      </c>
      <c r="D45" s="25" t="s">
        <v>441</v>
      </c>
      <c r="E45" s="26" t="s">
        <v>37</v>
      </c>
      <c r="F45" s="26" t="s">
        <v>229</v>
      </c>
      <c r="G45" s="25" t="s">
        <v>415</v>
      </c>
      <c r="H45" s="26">
        <v>2</v>
      </c>
      <c r="I45" s="26">
        <v>160</v>
      </c>
      <c r="J45" s="26"/>
      <c r="K45" s="32"/>
      <c r="L45" s="33">
        <v>1890</v>
      </c>
      <c r="M45" s="33">
        <v>1666</v>
      </c>
      <c r="N45" s="35">
        <v>44266</v>
      </c>
      <c r="O45" s="35">
        <v>44282</v>
      </c>
      <c r="P45" s="35">
        <v>44293</v>
      </c>
      <c r="Q45" s="38" t="s">
        <v>418</v>
      </c>
      <c r="R45" s="26"/>
      <c r="S45" s="36"/>
    </row>
    <row r="46" spans="1:19">
      <c r="A46" s="27">
        <v>44</v>
      </c>
      <c r="B46" s="26" t="s">
        <v>355</v>
      </c>
      <c r="C46" s="25" t="s">
        <v>696</v>
      </c>
      <c r="D46" s="25" t="s">
        <v>441</v>
      </c>
      <c r="E46" s="26" t="s">
        <v>37</v>
      </c>
      <c r="F46" s="26" t="s">
        <v>229</v>
      </c>
      <c r="G46" s="25" t="s">
        <v>707</v>
      </c>
      <c r="H46" s="26"/>
      <c r="I46" s="26"/>
      <c r="J46" s="26"/>
      <c r="K46" s="32"/>
      <c r="L46" s="33">
        <v>1252</v>
      </c>
      <c r="M46" s="33">
        <v>12000</v>
      </c>
      <c r="N46" s="35">
        <v>1</v>
      </c>
      <c r="O46" s="35">
        <v>1</v>
      </c>
      <c r="P46" s="35">
        <v>1</v>
      </c>
      <c r="Q46" s="26" t="s">
        <v>418</v>
      </c>
      <c r="R46" s="26"/>
      <c r="S46" s="36"/>
    </row>
    <row r="47" spans="1:19">
      <c r="A47" s="25">
        <v>45</v>
      </c>
      <c r="B47" s="28" t="s">
        <v>713</v>
      </c>
      <c r="C47" s="25" t="s">
        <v>696</v>
      </c>
      <c r="D47" s="25" t="s">
        <v>441</v>
      </c>
      <c r="E47" s="26" t="s">
        <v>37</v>
      </c>
      <c r="F47" s="26" t="s">
        <v>229</v>
      </c>
      <c r="G47" s="25" t="s">
        <v>707</v>
      </c>
      <c r="H47" s="26"/>
      <c r="I47" s="26"/>
      <c r="J47" s="26"/>
      <c r="K47" s="32"/>
      <c r="L47" s="33">
        <v>3770.66666666666</v>
      </c>
      <c r="M47" s="33">
        <v>12000</v>
      </c>
      <c r="N47" s="35">
        <v>1</v>
      </c>
      <c r="O47" s="35">
        <v>1</v>
      </c>
      <c r="P47" s="35">
        <v>1</v>
      </c>
      <c r="Q47" s="26" t="s">
        <v>418</v>
      </c>
      <c r="R47" s="26"/>
      <c r="S47" s="36"/>
    </row>
    <row r="48" spans="1:19">
      <c r="A48" s="27">
        <v>46</v>
      </c>
      <c r="B48" s="26" t="s">
        <v>714</v>
      </c>
      <c r="C48" s="25" t="s">
        <v>696</v>
      </c>
      <c r="D48" s="25" t="s">
        <v>441</v>
      </c>
      <c r="E48" s="26" t="s">
        <v>37</v>
      </c>
      <c r="F48" s="26" t="s">
        <v>229</v>
      </c>
      <c r="G48" s="25" t="s">
        <v>707</v>
      </c>
      <c r="H48" s="26"/>
      <c r="I48" s="26"/>
      <c r="J48" s="26"/>
      <c r="K48" s="32"/>
      <c r="L48" s="33">
        <v>357</v>
      </c>
      <c r="M48" s="33">
        <v>12000</v>
      </c>
      <c r="N48" s="35">
        <v>1</v>
      </c>
      <c r="O48" s="35">
        <v>1</v>
      </c>
      <c r="P48" s="35">
        <v>1</v>
      </c>
      <c r="Q48" s="26" t="s">
        <v>418</v>
      </c>
      <c r="R48" s="26"/>
      <c r="S48" s="36"/>
    </row>
    <row r="49" spans="1:19">
      <c r="A49" s="25">
        <v>47</v>
      </c>
      <c r="B49" s="28" t="s">
        <v>715</v>
      </c>
      <c r="C49" s="25" t="s">
        <v>696</v>
      </c>
      <c r="D49" s="25" t="s">
        <v>441</v>
      </c>
      <c r="E49" s="26" t="s">
        <v>37</v>
      </c>
      <c r="F49" s="26" t="s">
        <v>229</v>
      </c>
      <c r="G49" s="25" t="s">
        <v>707</v>
      </c>
      <c r="H49" s="26"/>
      <c r="I49" s="26"/>
      <c r="J49" s="26"/>
      <c r="K49" s="32"/>
      <c r="L49" s="33">
        <v>100.8</v>
      </c>
      <c r="M49" s="33">
        <v>12000</v>
      </c>
      <c r="N49" s="35">
        <v>1</v>
      </c>
      <c r="O49" s="35">
        <v>1</v>
      </c>
      <c r="P49" s="35">
        <v>1</v>
      </c>
      <c r="Q49" s="26" t="s">
        <v>418</v>
      </c>
      <c r="R49" s="26"/>
      <c r="S49" s="36"/>
    </row>
    <row r="50" spans="1:19">
      <c r="A50" s="27">
        <v>48</v>
      </c>
      <c r="B50" s="28" t="s">
        <v>131</v>
      </c>
      <c r="C50" s="25" t="s">
        <v>696</v>
      </c>
      <c r="D50" s="25" t="s">
        <v>441</v>
      </c>
      <c r="E50" s="26" t="s">
        <v>37</v>
      </c>
      <c r="F50" s="26" t="s">
        <v>229</v>
      </c>
      <c r="G50" s="25" t="s">
        <v>707</v>
      </c>
      <c r="H50" s="26"/>
      <c r="I50" s="26"/>
      <c r="J50" s="26"/>
      <c r="K50" s="32"/>
      <c r="L50" s="33">
        <v>7331.2</v>
      </c>
      <c r="M50" s="33">
        <v>12000</v>
      </c>
      <c r="N50" s="35">
        <v>1</v>
      </c>
      <c r="O50" s="35">
        <v>1</v>
      </c>
      <c r="P50" s="35">
        <v>1</v>
      </c>
      <c r="Q50" s="26" t="s">
        <v>418</v>
      </c>
      <c r="R50" s="26"/>
      <c r="S50" s="36"/>
    </row>
    <row r="51" spans="1:19">
      <c r="A51" s="25">
        <v>49</v>
      </c>
      <c r="B51" s="28" t="s">
        <v>716</v>
      </c>
      <c r="C51" s="25" t="s">
        <v>696</v>
      </c>
      <c r="D51" s="25" t="s">
        <v>441</v>
      </c>
      <c r="E51" s="26" t="s">
        <v>37</v>
      </c>
      <c r="F51" s="26" t="s">
        <v>229</v>
      </c>
      <c r="G51" s="25" t="s">
        <v>707</v>
      </c>
      <c r="H51" s="26"/>
      <c r="I51" s="26"/>
      <c r="J51" s="26"/>
      <c r="K51" s="32"/>
      <c r="L51" s="33">
        <v>8148</v>
      </c>
      <c r="M51" s="33">
        <v>12000</v>
      </c>
      <c r="N51" s="35">
        <v>1</v>
      </c>
      <c r="O51" s="35">
        <v>1</v>
      </c>
      <c r="P51" s="35">
        <v>1</v>
      </c>
      <c r="Q51" s="26" t="s">
        <v>418</v>
      </c>
      <c r="R51" s="26"/>
      <c r="S51" s="36"/>
    </row>
    <row r="52" spans="1:19">
      <c r="A52" s="27">
        <v>50</v>
      </c>
      <c r="B52" s="28" t="s">
        <v>236</v>
      </c>
      <c r="C52" s="25" t="s">
        <v>696</v>
      </c>
      <c r="D52" s="25" t="s">
        <v>441</v>
      </c>
      <c r="E52" s="26" t="s">
        <v>37</v>
      </c>
      <c r="F52" s="26" t="s">
        <v>229</v>
      </c>
      <c r="G52" s="25" t="s">
        <v>707</v>
      </c>
      <c r="H52" s="26"/>
      <c r="I52" s="26"/>
      <c r="J52" s="26"/>
      <c r="K52" s="32"/>
      <c r="L52" s="33">
        <v>2926</v>
      </c>
      <c r="M52" s="33">
        <v>12000</v>
      </c>
      <c r="N52" s="35">
        <v>1</v>
      </c>
      <c r="O52" s="35">
        <v>1</v>
      </c>
      <c r="P52" s="35">
        <v>1</v>
      </c>
      <c r="Q52" s="26" t="s">
        <v>418</v>
      </c>
      <c r="R52" s="26"/>
      <c r="S52" s="36"/>
    </row>
    <row r="53" spans="1:19">
      <c r="A53" s="25">
        <v>51</v>
      </c>
      <c r="B53" s="26" t="s">
        <v>132</v>
      </c>
      <c r="C53" s="25" t="s">
        <v>696</v>
      </c>
      <c r="D53" s="25" t="s">
        <v>441</v>
      </c>
      <c r="E53" s="26" t="s">
        <v>37</v>
      </c>
      <c r="F53" s="26" t="s">
        <v>229</v>
      </c>
      <c r="G53" s="25" t="s">
        <v>707</v>
      </c>
      <c r="H53" s="26"/>
      <c r="I53" s="26"/>
      <c r="J53" s="26"/>
      <c r="K53" s="32"/>
      <c r="L53" s="33">
        <v>2232</v>
      </c>
      <c r="M53" s="33">
        <v>12000</v>
      </c>
      <c r="N53" s="35">
        <v>1</v>
      </c>
      <c r="O53" s="35">
        <v>1</v>
      </c>
      <c r="P53" s="35">
        <v>1</v>
      </c>
      <c r="Q53" s="26" t="s">
        <v>418</v>
      </c>
      <c r="R53" s="26"/>
      <c r="S53" s="36"/>
    </row>
    <row r="54" spans="1:19">
      <c r="A54" s="27">
        <v>52</v>
      </c>
      <c r="B54" s="28" t="s">
        <v>233</v>
      </c>
      <c r="C54" s="25" t="s">
        <v>696</v>
      </c>
      <c r="D54" s="25" t="s">
        <v>441</v>
      </c>
      <c r="E54" s="26" t="s">
        <v>37</v>
      </c>
      <c r="F54" s="26" t="s">
        <v>229</v>
      </c>
      <c r="G54" s="25" t="s">
        <v>707</v>
      </c>
      <c r="H54" s="26"/>
      <c r="I54" s="26"/>
      <c r="J54" s="26"/>
      <c r="K54" s="32"/>
      <c r="L54" s="33">
        <v>9451.2</v>
      </c>
      <c r="M54" s="33">
        <v>12000</v>
      </c>
      <c r="N54" s="35">
        <v>1</v>
      </c>
      <c r="O54" s="35">
        <v>1</v>
      </c>
      <c r="P54" s="35">
        <v>1</v>
      </c>
      <c r="Q54" s="26" t="s">
        <v>418</v>
      </c>
      <c r="R54" s="26"/>
      <c r="S54" s="36"/>
    </row>
    <row r="55" spans="1:19">
      <c r="A55" s="25">
        <v>53</v>
      </c>
      <c r="B55" s="28" t="s">
        <v>232</v>
      </c>
      <c r="C55" s="25" t="s">
        <v>696</v>
      </c>
      <c r="D55" s="25" t="s">
        <v>441</v>
      </c>
      <c r="E55" s="26" t="s">
        <v>37</v>
      </c>
      <c r="F55" s="26" t="s">
        <v>229</v>
      </c>
      <c r="G55" s="25" t="s">
        <v>707</v>
      </c>
      <c r="H55" s="26"/>
      <c r="I55" s="26"/>
      <c r="J55" s="26"/>
      <c r="K55" s="32"/>
      <c r="L55" s="33">
        <v>4452</v>
      </c>
      <c r="M55" s="33">
        <v>12000</v>
      </c>
      <c r="N55" s="35">
        <v>1</v>
      </c>
      <c r="O55" s="35">
        <v>1</v>
      </c>
      <c r="P55" s="35">
        <v>1</v>
      </c>
      <c r="Q55" s="26" t="s">
        <v>418</v>
      </c>
      <c r="R55" s="26"/>
      <c r="S55" s="36"/>
    </row>
    <row r="56" spans="1:19">
      <c r="A56" s="27">
        <v>54</v>
      </c>
      <c r="B56" s="25" t="s">
        <v>443</v>
      </c>
      <c r="C56" s="25" t="s">
        <v>696</v>
      </c>
      <c r="D56" s="25" t="s">
        <v>441</v>
      </c>
      <c r="E56" s="26" t="s">
        <v>37</v>
      </c>
      <c r="F56" s="26" t="s">
        <v>229</v>
      </c>
      <c r="G56" s="25" t="s">
        <v>422</v>
      </c>
      <c r="H56" s="26">
        <v>2</v>
      </c>
      <c r="I56" s="26">
        <v>160</v>
      </c>
      <c r="J56" s="26"/>
      <c r="K56" s="32"/>
      <c r="L56" s="33">
        <v>105</v>
      </c>
      <c r="M56" s="33">
        <v>1000</v>
      </c>
      <c r="N56" s="35">
        <v>44285</v>
      </c>
      <c r="O56" s="35">
        <v>44332</v>
      </c>
      <c r="P56" s="35"/>
      <c r="Q56" s="26"/>
      <c r="R56" s="26"/>
      <c r="S56" s="36"/>
    </row>
    <row r="57" spans="1:19">
      <c r="A57" s="25">
        <v>55</v>
      </c>
      <c r="B57" s="27" t="s">
        <v>717</v>
      </c>
      <c r="C57" s="25" t="s">
        <v>696</v>
      </c>
      <c r="D57" s="25" t="s">
        <v>441</v>
      </c>
      <c r="E57" s="26" t="s">
        <v>37</v>
      </c>
      <c r="F57" s="26" t="s">
        <v>229</v>
      </c>
      <c r="G57" s="25" t="s">
        <v>415</v>
      </c>
      <c r="H57" s="26">
        <v>2</v>
      </c>
      <c r="I57" s="26">
        <v>160</v>
      </c>
      <c r="J57" s="26"/>
      <c r="K57" s="32"/>
      <c r="L57" s="33">
        <v>2669.33333333333</v>
      </c>
      <c r="M57" s="33">
        <v>3333</v>
      </c>
      <c r="N57" s="35">
        <v>44285</v>
      </c>
      <c r="O57" s="35">
        <v>44294</v>
      </c>
      <c r="P57" s="35">
        <v>44300</v>
      </c>
      <c r="Q57" s="38" t="s">
        <v>418</v>
      </c>
      <c r="R57" s="26"/>
      <c r="S57" s="36"/>
    </row>
    <row r="58" spans="1:19">
      <c r="A58" s="27">
        <v>56</v>
      </c>
      <c r="B58" s="27" t="s">
        <v>133</v>
      </c>
      <c r="C58" s="25" t="s">
        <v>696</v>
      </c>
      <c r="D58" s="25" t="s">
        <v>441</v>
      </c>
      <c r="E58" s="26" t="s">
        <v>37</v>
      </c>
      <c r="F58" s="26" t="s">
        <v>229</v>
      </c>
      <c r="G58" s="25" t="s">
        <v>415</v>
      </c>
      <c r="H58" s="26">
        <v>2</v>
      </c>
      <c r="I58" s="26">
        <v>160</v>
      </c>
      <c r="J58" s="26"/>
      <c r="K58" s="36" t="s">
        <v>401</v>
      </c>
      <c r="L58" s="33">
        <v>11656.8</v>
      </c>
      <c r="M58" s="33">
        <v>20000</v>
      </c>
      <c r="N58" s="35">
        <v>44232</v>
      </c>
      <c r="O58" s="35">
        <v>44237</v>
      </c>
      <c r="P58" s="35">
        <v>44270</v>
      </c>
      <c r="Q58" s="38" t="s">
        <v>418</v>
      </c>
      <c r="R58" s="26"/>
      <c r="S58" s="36"/>
    </row>
    <row r="59" spans="1:19">
      <c r="A59" s="25">
        <v>57</v>
      </c>
      <c r="B59" s="28" t="s">
        <v>718</v>
      </c>
      <c r="C59" s="25" t="s">
        <v>696</v>
      </c>
      <c r="D59" s="25" t="s">
        <v>441</v>
      </c>
      <c r="E59" s="26" t="s">
        <v>37</v>
      </c>
      <c r="F59" s="26" t="s">
        <v>229</v>
      </c>
      <c r="G59" s="25" t="s">
        <v>707</v>
      </c>
      <c r="H59" s="26"/>
      <c r="I59" s="26"/>
      <c r="J59" s="26"/>
      <c r="K59" s="32"/>
      <c r="L59" s="33">
        <v>1269.33333333333</v>
      </c>
      <c r="M59" s="33">
        <v>12000</v>
      </c>
      <c r="N59" s="35">
        <v>1</v>
      </c>
      <c r="O59" s="35">
        <v>1</v>
      </c>
      <c r="P59" s="35">
        <v>1</v>
      </c>
      <c r="Q59" s="26" t="s">
        <v>418</v>
      </c>
      <c r="R59" s="26"/>
      <c r="S59" s="36"/>
    </row>
    <row r="60" spans="1:19">
      <c r="A60" s="27">
        <v>58</v>
      </c>
      <c r="B60" s="25" t="s">
        <v>134</v>
      </c>
      <c r="C60" s="25" t="s">
        <v>696</v>
      </c>
      <c r="D60" s="25" t="s">
        <v>441</v>
      </c>
      <c r="E60" s="26" t="s">
        <v>37</v>
      </c>
      <c r="F60" s="26" t="s">
        <v>229</v>
      </c>
      <c r="G60" s="25" t="s">
        <v>415</v>
      </c>
      <c r="H60" s="26">
        <v>2</v>
      </c>
      <c r="I60" s="26">
        <v>160</v>
      </c>
      <c r="J60" s="26"/>
      <c r="K60" s="32"/>
      <c r="L60" s="33">
        <v>562.8</v>
      </c>
      <c r="M60" s="33">
        <v>2000</v>
      </c>
      <c r="N60" s="35">
        <v>44314</v>
      </c>
      <c r="O60" s="35">
        <v>44332</v>
      </c>
      <c r="P60" s="35">
        <v>44344</v>
      </c>
      <c r="Q60" s="26" t="s">
        <v>418</v>
      </c>
      <c r="R60" s="26"/>
      <c r="S60" s="36"/>
    </row>
    <row r="61" spans="1:19">
      <c r="A61" s="25">
        <v>59</v>
      </c>
      <c r="B61" s="27" t="s">
        <v>135</v>
      </c>
      <c r="C61" s="25" t="s">
        <v>696</v>
      </c>
      <c r="D61" s="25" t="s">
        <v>441</v>
      </c>
      <c r="E61" s="26" t="s">
        <v>37</v>
      </c>
      <c r="F61" s="26" t="s">
        <v>229</v>
      </c>
      <c r="G61" s="25" t="s">
        <v>415</v>
      </c>
      <c r="H61" s="26">
        <v>1</v>
      </c>
      <c r="I61" s="26">
        <v>160</v>
      </c>
      <c r="J61" s="26"/>
      <c r="K61" s="32"/>
      <c r="L61" s="33">
        <v>16440</v>
      </c>
      <c r="M61" s="33">
        <v>20000</v>
      </c>
      <c r="N61" s="35">
        <v>44247</v>
      </c>
      <c r="O61" s="35">
        <v>44252</v>
      </c>
      <c r="P61" s="35">
        <v>44273</v>
      </c>
      <c r="Q61" s="38" t="s">
        <v>418</v>
      </c>
      <c r="R61" s="26"/>
      <c r="S61" s="36"/>
    </row>
    <row r="62" spans="1:19">
      <c r="A62" s="27">
        <v>60</v>
      </c>
      <c r="B62" s="27" t="s">
        <v>719</v>
      </c>
      <c r="C62" s="25" t="s">
        <v>696</v>
      </c>
      <c r="D62" s="25" t="s">
        <v>441</v>
      </c>
      <c r="E62" s="26" t="s">
        <v>37</v>
      </c>
      <c r="F62" s="26" t="s">
        <v>229</v>
      </c>
      <c r="G62" s="25" t="s">
        <v>415</v>
      </c>
      <c r="H62" s="26">
        <v>2</v>
      </c>
      <c r="I62" s="26">
        <v>250</v>
      </c>
      <c r="J62" s="26"/>
      <c r="K62" s="32"/>
      <c r="L62" s="33">
        <v>704</v>
      </c>
      <c r="M62" s="33">
        <v>20000</v>
      </c>
      <c r="N62" s="35">
        <v>44232</v>
      </c>
      <c r="O62" s="35">
        <v>44237</v>
      </c>
      <c r="P62" s="35">
        <v>44265</v>
      </c>
      <c r="Q62" s="38" t="s">
        <v>418</v>
      </c>
      <c r="R62" s="26"/>
      <c r="S62" s="36"/>
    </row>
    <row r="63" spans="1:19">
      <c r="A63" s="25">
        <v>61</v>
      </c>
      <c r="B63" s="27" t="s">
        <v>720</v>
      </c>
      <c r="C63" s="25" t="s">
        <v>696</v>
      </c>
      <c r="D63" s="25" t="s">
        <v>441</v>
      </c>
      <c r="E63" s="26" t="s">
        <v>37</v>
      </c>
      <c r="F63" s="26" t="s">
        <v>229</v>
      </c>
      <c r="G63" s="25" t="s">
        <v>415</v>
      </c>
      <c r="H63" s="26">
        <v>2</v>
      </c>
      <c r="I63" s="26">
        <v>160</v>
      </c>
      <c r="J63" s="26"/>
      <c r="K63" s="32"/>
      <c r="L63" s="33">
        <v>6616.4</v>
      </c>
      <c r="M63" s="33">
        <v>20000</v>
      </c>
      <c r="N63" s="35">
        <v>44232</v>
      </c>
      <c r="O63" s="35">
        <v>44237</v>
      </c>
      <c r="P63" s="35">
        <v>44265</v>
      </c>
      <c r="Q63" s="38" t="s">
        <v>418</v>
      </c>
      <c r="R63" s="26"/>
      <c r="S63" s="36"/>
    </row>
    <row r="64" spans="1:19">
      <c r="A64" s="27">
        <v>62</v>
      </c>
      <c r="B64" s="27" t="s">
        <v>137</v>
      </c>
      <c r="C64" s="25" t="s">
        <v>696</v>
      </c>
      <c r="D64" s="25" t="s">
        <v>441</v>
      </c>
      <c r="E64" s="26" t="s">
        <v>37</v>
      </c>
      <c r="F64" s="26" t="s">
        <v>229</v>
      </c>
      <c r="G64" s="25" t="s">
        <v>415</v>
      </c>
      <c r="H64" s="26">
        <v>1</v>
      </c>
      <c r="I64" s="26">
        <v>160</v>
      </c>
      <c r="J64" s="26"/>
      <c r="K64" s="32"/>
      <c r="L64" s="33">
        <v>6100</v>
      </c>
      <c r="M64" s="33">
        <v>3000</v>
      </c>
      <c r="N64" s="35">
        <v>44247</v>
      </c>
      <c r="O64" s="35">
        <v>44252</v>
      </c>
      <c r="P64" s="35">
        <v>44265</v>
      </c>
      <c r="Q64" s="38" t="s">
        <v>418</v>
      </c>
      <c r="R64" s="26"/>
      <c r="S64" s="36"/>
    </row>
    <row r="65" spans="1:19">
      <c r="A65" s="25">
        <v>63</v>
      </c>
      <c r="B65" s="27" t="s">
        <v>138</v>
      </c>
      <c r="C65" s="25" t="s">
        <v>696</v>
      </c>
      <c r="D65" s="25" t="s">
        <v>441</v>
      </c>
      <c r="E65" s="26" t="s">
        <v>37</v>
      </c>
      <c r="F65" s="26" t="s">
        <v>229</v>
      </c>
      <c r="G65" s="25" t="s">
        <v>415</v>
      </c>
      <c r="H65" s="26">
        <v>2</v>
      </c>
      <c r="I65" s="26">
        <v>250</v>
      </c>
      <c r="J65" s="26"/>
      <c r="K65" s="32"/>
      <c r="L65" s="33">
        <v>5371.2</v>
      </c>
      <c r="M65" s="33">
        <v>3000</v>
      </c>
      <c r="N65" s="35">
        <v>44232</v>
      </c>
      <c r="O65" s="35">
        <v>44237</v>
      </c>
      <c r="P65" s="35">
        <v>44289</v>
      </c>
      <c r="Q65" s="38" t="s">
        <v>418</v>
      </c>
      <c r="R65" s="26"/>
      <c r="S65" s="36"/>
    </row>
    <row r="66" spans="1:19">
      <c r="A66" s="27">
        <v>64</v>
      </c>
      <c r="B66" s="27" t="s">
        <v>139</v>
      </c>
      <c r="C66" s="25" t="s">
        <v>696</v>
      </c>
      <c r="D66" s="25" t="s">
        <v>441</v>
      </c>
      <c r="E66" s="26" t="s">
        <v>37</v>
      </c>
      <c r="F66" s="26" t="s">
        <v>229</v>
      </c>
      <c r="G66" s="25" t="s">
        <v>415</v>
      </c>
      <c r="H66" s="26">
        <v>1</v>
      </c>
      <c r="I66" s="26">
        <v>160</v>
      </c>
      <c r="J66" s="26"/>
      <c r="K66" s="32"/>
      <c r="L66" s="33">
        <v>1268</v>
      </c>
      <c r="M66" s="33">
        <v>3000</v>
      </c>
      <c r="N66" s="35">
        <v>44247</v>
      </c>
      <c r="O66" s="35">
        <v>44252</v>
      </c>
      <c r="P66" s="35">
        <v>44265</v>
      </c>
      <c r="Q66" s="38" t="s">
        <v>418</v>
      </c>
      <c r="R66" s="26"/>
      <c r="S66" s="36"/>
    </row>
    <row r="67" spans="1:19">
      <c r="A67" s="25">
        <v>65</v>
      </c>
      <c r="B67" s="25" t="s">
        <v>140</v>
      </c>
      <c r="C67" s="25" t="s">
        <v>696</v>
      </c>
      <c r="D67" s="25" t="s">
        <v>441</v>
      </c>
      <c r="E67" s="26" t="s">
        <v>37</v>
      </c>
      <c r="F67" s="26" t="s">
        <v>229</v>
      </c>
      <c r="G67" s="25" t="s">
        <v>415</v>
      </c>
      <c r="H67" s="26">
        <v>2</v>
      </c>
      <c r="I67" s="26">
        <v>160</v>
      </c>
      <c r="J67" s="26"/>
      <c r="K67" s="32"/>
      <c r="L67" s="33">
        <v>862</v>
      </c>
      <c r="M67" s="33">
        <v>833</v>
      </c>
      <c r="N67" s="35">
        <v>44266</v>
      </c>
      <c r="O67" s="35">
        <v>44282</v>
      </c>
      <c r="P67" s="35">
        <v>44291</v>
      </c>
      <c r="Q67" s="38" t="s">
        <v>418</v>
      </c>
      <c r="R67" s="26"/>
      <c r="S67" s="36"/>
    </row>
    <row r="68" spans="1:19">
      <c r="A68" s="27">
        <v>66</v>
      </c>
      <c r="B68" s="25" t="s">
        <v>66</v>
      </c>
      <c r="C68" s="25" t="s">
        <v>696</v>
      </c>
      <c r="D68" s="25" t="s">
        <v>414</v>
      </c>
      <c r="E68" s="39" t="s">
        <v>54</v>
      </c>
      <c r="F68" s="29" t="s">
        <v>229</v>
      </c>
      <c r="G68" s="25" t="s">
        <v>415</v>
      </c>
      <c r="H68" s="26">
        <v>2</v>
      </c>
      <c r="I68" s="26">
        <v>160</v>
      </c>
      <c r="J68" s="26"/>
      <c r="K68" s="32"/>
      <c r="L68" s="33">
        <v>16965.6</v>
      </c>
      <c r="M68" s="33">
        <v>20149</v>
      </c>
      <c r="N68" s="34">
        <v>44355</v>
      </c>
      <c r="O68" s="35">
        <v>44370</v>
      </c>
      <c r="P68" s="35">
        <v>44379</v>
      </c>
      <c r="Q68" s="26" t="s">
        <v>418</v>
      </c>
      <c r="R68" s="26"/>
      <c r="S68" s="45" t="s">
        <v>721</v>
      </c>
    </row>
    <row r="69" spans="1:19">
      <c r="A69" s="25">
        <v>67</v>
      </c>
      <c r="B69" s="25" t="s">
        <v>589</v>
      </c>
      <c r="C69" s="25" t="s">
        <v>696</v>
      </c>
      <c r="D69" s="25" t="s">
        <v>414</v>
      </c>
      <c r="E69" s="39" t="s">
        <v>54</v>
      </c>
      <c r="F69" s="29" t="s">
        <v>229</v>
      </c>
      <c r="G69" s="25" t="s">
        <v>491</v>
      </c>
      <c r="H69" s="26">
        <v>2</v>
      </c>
      <c r="I69" s="26">
        <v>160</v>
      </c>
      <c r="J69" s="26"/>
      <c r="K69" s="32"/>
      <c r="L69" s="33">
        <v>3978.7</v>
      </c>
      <c r="M69" s="33">
        <v>5343</v>
      </c>
      <c r="N69" s="34">
        <v>44355</v>
      </c>
      <c r="O69" s="35">
        <v>44370</v>
      </c>
      <c r="P69" s="35">
        <v>44379</v>
      </c>
      <c r="Q69" s="26" t="s">
        <v>418</v>
      </c>
      <c r="R69" s="26" t="s">
        <v>722</v>
      </c>
      <c r="S69" s="46"/>
    </row>
    <row r="70" spans="1:19">
      <c r="A70" s="27">
        <v>68</v>
      </c>
      <c r="B70" s="25" t="s">
        <v>67</v>
      </c>
      <c r="C70" s="25" t="s">
        <v>696</v>
      </c>
      <c r="D70" s="25" t="s">
        <v>414</v>
      </c>
      <c r="E70" s="39" t="s">
        <v>54</v>
      </c>
      <c r="F70" s="29" t="s">
        <v>229</v>
      </c>
      <c r="G70" s="25" t="s">
        <v>415</v>
      </c>
      <c r="H70" s="26">
        <v>2</v>
      </c>
      <c r="I70" s="26">
        <v>160</v>
      </c>
      <c r="J70" s="26"/>
      <c r="K70" s="32"/>
      <c r="L70" s="33">
        <v>6897.33333333333</v>
      </c>
      <c r="M70" s="33">
        <v>9623</v>
      </c>
      <c r="N70" s="34">
        <v>44355</v>
      </c>
      <c r="O70" s="35">
        <v>44365</v>
      </c>
      <c r="P70" s="35">
        <v>44370</v>
      </c>
      <c r="Q70" s="26" t="s">
        <v>418</v>
      </c>
      <c r="R70" s="26"/>
      <c r="S70" s="36"/>
    </row>
    <row r="71" spans="1:19">
      <c r="A71" s="25">
        <v>69</v>
      </c>
      <c r="B71" s="25" t="s">
        <v>68</v>
      </c>
      <c r="C71" s="25" t="s">
        <v>696</v>
      </c>
      <c r="D71" s="25" t="s">
        <v>414</v>
      </c>
      <c r="E71" s="39" t="s">
        <v>54</v>
      </c>
      <c r="F71" s="29" t="s">
        <v>229</v>
      </c>
      <c r="G71" s="25" t="s">
        <v>415</v>
      </c>
      <c r="H71" s="26">
        <v>2</v>
      </c>
      <c r="I71" s="26">
        <v>160</v>
      </c>
      <c r="J71" s="26"/>
      <c r="K71" s="32"/>
      <c r="L71" s="33">
        <v>8010.66666666667</v>
      </c>
      <c r="M71" s="33">
        <v>5661</v>
      </c>
      <c r="N71" s="34">
        <v>44355</v>
      </c>
      <c r="O71" s="35">
        <v>44370</v>
      </c>
      <c r="P71" s="35">
        <v>44379</v>
      </c>
      <c r="Q71" s="26" t="s">
        <v>418</v>
      </c>
      <c r="R71" s="26"/>
      <c r="S71" s="36"/>
    </row>
    <row r="72" spans="1:19">
      <c r="A72" s="27">
        <v>70</v>
      </c>
      <c r="B72" s="25" t="s">
        <v>69</v>
      </c>
      <c r="C72" s="25" t="s">
        <v>696</v>
      </c>
      <c r="D72" s="25" t="s">
        <v>414</v>
      </c>
      <c r="E72" s="39" t="s">
        <v>54</v>
      </c>
      <c r="F72" s="29" t="s">
        <v>229</v>
      </c>
      <c r="G72" s="25" t="s">
        <v>415</v>
      </c>
      <c r="H72" s="26">
        <v>2</v>
      </c>
      <c r="I72" s="26">
        <v>160</v>
      </c>
      <c r="J72" s="26"/>
      <c r="K72" s="32"/>
      <c r="L72" s="33">
        <v>21126</v>
      </c>
      <c r="M72" s="33">
        <v>18419</v>
      </c>
      <c r="N72" s="34">
        <v>44355</v>
      </c>
      <c r="O72" s="35">
        <v>44365</v>
      </c>
      <c r="P72" s="35">
        <v>44370</v>
      </c>
      <c r="Q72" s="26" t="s">
        <v>418</v>
      </c>
      <c r="R72" s="26"/>
      <c r="S72" s="36"/>
    </row>
    <row r="73" spans="1:19">
      <c r="A73" s="25">
        <v>71</v>
      </c>
      <c r="B73" s="25" t="s">
        <v>512</v>
      </c>
      <c r="C73" s="25" t="s">
        <v>696</v>
      </c>
      <c r="D73" s="25" t="s">
        <v>414</v>
      </c>
      <c r="E73" s="39" t="s">
        <v>54</v>
      </c>
      <c r="F73" s="29" t="s">
        <v>229</v>
      </c>
      <c r="G73" s="25" t="s">
        <v>491</v>
      </c>
      <c r="H73" s="26">
        <v>1</v>
      </c>
      <c r="I73" s="26">
        <v>160</v>
      </c>
      <c r="J73" s="26"/>
      <c r="K73" s="36" t="s">
        <v>401</v>
      </c>
      <c r="L73" s="33">
        <v>13130</v>
      </c>
      <c r="M73" s="33">
        <v>12261</v>
      </c>
      <c r="N73" s="34">
        <v>44355</v>
      </c>
      <c r="O73" s="35">
        <v>44375</v>
      </c>
      <c r="P73" s="35"/>
      <c r="Q73" s="26"/>
      <c r="R73" s="26" t="s">
        <v>722</v>
      </c>
      <c r="S73" s="36" t="s">
        <v>723</v>
      </c>
    </row>
    <row r="74" spans="1:19">
      <c r="A74" s="27">
        <v>72</v>
      </c>
      <c r="B74" s="27" t="s">
        <v>70</v>
      </c>
      <c r="C74" s="25" t="s">
        <v>696</v>
      </c>
      <c r="D74" s="25" t="s">
        <v>414</v>
      </c>
      <c r="E74" s="26" t="s">
        <v>31</v>
      </c>
      <c r="F74" s="26" t="s">
        <v>229</v>
      </c>
      <c r="G74" s="25" t="s">
        <v>415</v>
      </c>
      <c r="H74" s="26">
        <v>1</v>
      </c>
      <c r="I74" s="26">
        <v>160</v>
      </c>
      <c r="J74" s="26"/>
      <c r="K74" s="32"/>
      <c r="L74" s="33">
        <v>2507.96666666666</v>
      </c>
      <c r="M74" s="33">
        <v>5000</v>
      </c>
      <c r="N74" s="35">
        <v>44266</v>
      </c>
      <c r="O74" s="35">
        <v>44272</v>
      </c>
      <c r="P74" s="35">
        <v>44284</v>
      </c>
      <c r="Q74" s="38" t="s">
        <v>418</v>
      </c>
      <c r="R74" s="26"/>
      <c r="S74" s="36"/>
    </row>
    <row r="75" spans="1:19">
      <c r="A75" s="25">
        <v>73</v>
      </c>
      <c r="B75" s="27" t="s">
        <v>71</v>
      </c>
      <c r="C75" s="25" t="s">
        <v>696</v>
      </c>
      <c r="D75" s="25" t="s">
        <v>414</v>
      </c>
      <c r="E75" s="26" t="s">
        <v>31</v>
      </c>
      <c r="F75" s="26" t="s">
        <v>229</v>
      </c>
      <c r="G75" s="25" t="s">
        <v>415</v>
      </c>
      <c r="H75" s="26">
        <v>2</v>
      </c>
      <c r="I75" s="26">
        <v>160</v>
      </c>
      <c r="J75" s="26"/>
      <c r="K75" s="32"/>
      <c r="L75" s="33">
        <v>1902.16666666667</v>
      </c>
      <c r="M75" s="33">
        <v>5000</v>
      </c>
      <c r="N75" s="35">
        <v>44266</v>
      </c>
      <c r="O75" s="35">
        <v>44272</v>
      </c>
      <c r="P75" s="35">
        <v>44284</v>
      </c>
      <c r="Q75" s="38" t="s">
        <v>418</v>
      </c>
      <c r="R75" s="26"/>
      <c r="S75" s="36"/>
    </row>
    <row r="76" spans="1:19">
      <c r="A76" s="27">
        <v>74</v>
      </c>
      <c r="B76" s="27" t="s">
        <v>72</v>
      </c>
      <c r="C76" s="25" t="s">
        <v>696</v>
      </c>
      <c r="D76" s="25" t="s">
        <v>414</v>
      </c>
      <c r="E76" s="26" t="s">
        <v>31</v>
      </c>
      <c r="F76" s="26" t="s">
        <v>229</v>
      </c>
      <c r="G76" s="25" t="s">
        <v>415</v>
      </c>
      <c r="H76" s="26">
        <v>2</v>
      </c>
      <c r="I76" s="26">
        <v>160</v>
      </c>
      <c r="J76" s="26"/>
      <c r="K76" s="32"/>
      <c r="L76" s="33">
        <v>2909.3</v>
      </c>
      <c r="M76" s="33">
        <v>5000</v>
      </c>
      <c r="N76" s="35">
        <v>44266</v>
      </c>
      <c r="O76" s="35">
        <v>44272</v>
      </c>
      <c r="P76" s="35">
        <v>44284</v>
      </c>
      <c r="Q76" s="38" t="s">
        <v>418</v>
      </c>
      <c r="R76" s="26"/>
      <c r="S76" s="36" t="s">
        <v>724</v>
      </c>
    </row>
    <row r="77" spans="1:19">
      <c r="A77" s="25">
        <v>75</v>
      </c>
      <c r="B77" s="27" t="s">
        <v>73</v>
      </c>
      <c r="C77" s="25" t="s">
        <v>696</v>
      </c>
      <c r="D77" s="25" t="s">
        <v>414</v>
      </c>
      <c r="E77" s="26" t="s">
        <v>29</v>
      </c>
      <c r="F77" s="26" t="s">
        <v>229</v>
      </c>
      <c r="G77" s="25" t="s">
        <v>415</v>
      </c>
      <c r="H77" s="26">
        <v>1</v>
      </c>
      <c r="I77" s="26">
        <v>250</v>
      </c>
      <c r="J77" s="26"/>
      <c r="K77" s="32"/>
      <c r="L77" s="33">
        <v>43154.4</v>
      </c>
      <c r="M77" s="33">
        <v>80126</v>
      </c>
      <c r="N77" s="35">
        <v>44281</v>
      </c>
      <c r="O77" s="35">
        <v>44302</v>
      </c>
      <c r="P77" s="35">
        <v>44309</v>
      </c>
      <c r="Q77" s="38" t="s">
        <v>418</v>
      </c>
      <c r="R77" s="26"/>
      <c r="S77" s="36"/>
    </row>
    <row r="78" spans="1:19">
      <c r="A78" s="27">
        <v>76</v>
      </c>
      <c r="B78" s="25" t="s">
        <v>74</v>
      </c>
      <c r="C78" s="25" t="s">
        <v>696</v>
      </c>
      <c r="D78" s="25" t="s">
        <v>414</v>
      </c>
      <c r="E78" s="28" t="s">
        <v>29</v>
      </c>
      <c r="F78" s="26" t="s">
        <v>229</v>
      </c>
      <c r="G78" s="25" t="s">
        <v>415</v>
      </c>
      <c r="H78" s="26">
        <v>2</v>
      </c>
      <c r="I78" s="26">
        <v>160</v>
      </c>
      <c r="J78" s="26"/>
      <c r="K78" s="32"/>
      <c r="L78" s="33">
        <v>26787.5</v>
      </c>
      <c r="M78" s="33">
        <v>54498</v>
      </c>
      <c r="N78" s="35">
        <v>44281</v>
      </c>
      <c r="O78" s="35">
        <v>44342</v>
      </c>
      <c r="P78" s="35">
        <v>44352</v>
      </c>
      <c r="Q78" s="38" t="s">
        <v>418</v>
      </c>
      <c r="R78" s="26"/>
      <c r="S78" s="36" t="s">
        <v>725</v>
      </c>
    </row>
    <row r="79" spans="1:19">
      <c r="A79" s="25">
        <v>77</v>
      </c>
      <c r="B79" s="25" t="s">
        <v>75</v>
      </c>
      <c r="C79" s="25" t="s">
        <v>696</v>
      </c>
      <c r="D79" s="25" t="s">
        <v>414</v>
      </c>
      <c r="E79" s="28" t="s">
        <v>29</v>
      </c>
      <c r="F79" s="26" t="s">
        <v>229</v>
      </c>
      <c r="G79" s="25" t="s">
        <v>415</v>
      </c>
      <c r="H79" s="26">
        <v>1</v>
      </c>
      <c r="I79" s="26">
        <v>250</v>
      </c>
      <c r="J79" s="26"/>
      <c r="K79" s="32"/>
      <c r="L79" s="33">
        <v>7886.4</v>
      </c>
      <c r="M79" s="33">
        <v>11574</v>
      </c>
      <c r="N79" s="35">
        <v>44281</v>
      </c>
      <c r="O79" s="35">
        <v>44302</v>
      </c>
      <c r="P79" s="35">
        <v>44320</v>
      </c>
      <c r="Q79" s="38" t="s">
        <v>418</v>
      </c>
      <c r="R79" s="26"/>
      <c r="S79" s="36"/>
    </row>
    <row r="80" spans="1:19">
      <c r="A80" s="27">
        <v>78</v>
      </c>
      <c r="B80" s="25" t="s">
        <v>492</v>
      </c>
      <c r="C80" s="25" t="s">
        <v>696</v>
      </c>
      <c r="D80" s="25" t="s">
        <v>414</v>
      </c>
      <c r="E80" s="26" t="s">
        <v>48</v>
      </c>
      <c r="F80" s="26" t="s">
        <v>229</v>
      </c>
      <c r="G80" s="25" t="s">
        <v>422</v>
      </c>
      <c r="H80" s="26">
        <v>1</v>
      </c>
      <c r="I80" s="26">
        <v>160</v>
      </c>
      <c r="J80" s="26"/>
      <c r="K80" s="32" t="s">
        <v>401</v>
      </c>
      <c r="L80" s="33">
        <v>4641.43333333333</v>
      </c>
      <c r="M80" s="33">
        <v>11212</v>
      </c>
      <c r="N80" s="35">
        <v>44338</v>
      </c>
      <c r="O80" s="35" t="s">
        <v>462</v>
      </c>
      <c r="P80" s="35"/>
      <c r="Q80" s="26"/>
      <c r="R80" s="26"/>
      <c r="S80" s="36"/>
    </row>
    <row r="81" spans="1:19">
      <c r="A81" s="25">
        <v>79</v>
      </c>
      <c r="B81" s="25" t="s">
        <v>493</v>
      </c>
      <c r="C81" s="25" t="s">
        <v>696</v>
      </c>
      <c r="D81" s="25" t="s">
        <v>414</v>
      </c>
      <c r="E81" s="26" t="s">
        <v>48</v>
      </c>
      <c r="F81" s="26"/>
      <c r="G81" s="25" t="s">
        <v>422</v>
      </c>
      <c r="H81" s="26">
        <v>1</v>
      </c>
      <c r="I81" s="26">
        <v>160</v>
      </c>
      <c r="J81" s="26"/>
      <c r="K81" s="32" t="s">
        <v>401</v>
      </c>
      <c r="L81" s="33">
        <v>6476.2</v>
      </c>
      <c r="M81" s="33">
        <v>17113</v>
      </c>
      <c r="N81" s="35">
        <v>44338</v>
      </c>
      <c r="O81" s="35" t="s">
        <v>462</v>
      </c>
      <c r="P81" s="35"/>
      <c r="Q81" s="26"/>
      <c r="R81" s="26"/>
      <c r="S81" s="36" t="s">
        <v>726</v>
      </c>
    </row>
    <row r="82" spans="1:19">
      <c r="A82" s="27">
        <v>80</v>
      </c>
      <c r="B82" s="25" t="s">
        <v>495</v>
      </c>
      <c r="C82" s="25" t="s">
        <v>696</v>
      </c>
      <c r="D82" s="25" t="s">
        <v>414</v>
      </c>
      <c r="E82" s="26" t="s">
        <v>48</v>
      </c>
      <c r="F82" s="26"/>
      <c r="G82" s="25" t="s">
        <v>422</v>
      </c>
      <c r="H82" s="26">
        <v>1</v>
      </c>
      <c r="I82" s="26">
        <v>160</v>
      </c>
      <c r="J82" s="26"/>
      <c r="K82" s="32" t="s">
        <v>401</v>
      </c>
      <c r="L82" s="33">
        <v>16346.5</v>
      </c>
      <c r="M82" s="33">
        <v>16874</v>
      </c>
      <c r="N82" s="35">
        <v>44338</v>
      </c>
      <c r="O82" s="35" t="s">
        <v>462</v>
      </c>
      <c r="P82" s="35"/>
      <c r="Q82" s="26"/>
      <c r="R82" s="26"/>
      <c r="S82" s="36"/>
    </row>
    <row r="83" spans="1:19">
      <c r="A83" s="25">
        <v>81</v>
      </c>
      <c r="B83" s="25" t="s">
        <v>496</v>
      </c>
      <c r="C83" s="25" t="s">
        <v>696</v>
      </c>
      <c r="D83" s="25" t="s">
        <v>441</v>
      </c>
      <c r="E83" s="26" t="s">
        <v>48</v>
      </c>
      <c r="F83" s="26" t="s">
        <v>698</v>
      </c>
      <c r="G83" s="25" t="s">
        <v>422</v>
      </c>
      <c r="H83" s="26">
        <v>1</v>
      </c>
      <c r="I83" s="26">
        <v>160</v>
      </c>
      <c r="J83" s="26"/>
      <c r="K83" s="32" t="s">
        <v>401</v>
      </c>
      <c r="L83" s="33">
        <v>23760</v>
      </c>
      <c r="M83" s="33">
        <v>20000</v>
      </c>
      <c r="N83" s="35">
        <v>44335</v>
      </c>
      <c r="O83" s="35" t="s">
        <v>462</v>
      </c>
      <c r="P83" s="35"/>
      <c r="Q83" s="26"/>
      <c r="R83" s="26"/>
      <c r="S83" s="36" t="s">
        <v>727</v>
      </c>
    </row>
    <row r="84" spans="1:19">
      <c r="A84" s="27">
        <v>82</v>
      </c>
      <c r="B84" s="40" t="s">
        <v>499</v>
      </c>
      <c r="C84" s="25" t="s">
        <v>696</v>
      </c>
      <c r="D84" s="25" t="s">
        <v>414</v>
      </c>
      <c r="E84" s="26" t="s">
        <v>48</v>
      </c>
      <c r="F84" s="26" t="s">
        <v>229</v>
      </c>
      <c r="G84" s="25" t="s">
        <v>422</v>
      </c>
      <c r="H84" s="26">
        <v>2</v>
      </c>
      <c r="I84" s="26">
        <v>160</v>
      </c>
      <c r="J84" s="26"/>
      <c r="K84" s="32" t="s">
        <v>401</v>
      </c>
      <c r="L84" s="33">
        <v>33121.3333333334</v>
      </c>
      <c r="M84" s="33">
        <v>20000</v>
      </c>
      <c r="N84" s="35">
        <v>44347</v>
      </c>
      <c r="O84" s="35" t="s">
        <v>462</v>
      </c>
      <c r="P84" s="35"/>
      <c r="Q84" s="26"/>
      <c r="R84" s="26"/>
      <c r="S84" s="36" t="s">
        <v>726</v>
      </c>
    </row>
    <row r="85" spans="1:19">
      <c r="A85" s="25">
        <v>83</v>
      </c>
      <c r="B85" s="26">
        <v>681063011</v>
      </c>
      <c r="C85" s="25" t="s">
        <v>696</v>
      </c>
      <c r="D85" s="25" t="s">
        <v>410</v>
      </c>
      <c r="E85" s="26" t="s">
        <v>26</v>
      </c>
      <c r="F85" s="26" t="s">
        <v>229</v>
      </c>
      <c r="G85" s="25" t="s">
        <v>415</v>
      </c>
      <c r="H85" s="26">
        <v>4</v>
      </c>
      <c r="I85" s="26">
        <v>160</v>
      </c>
      <c r="J85" s="26"/>
      <c r="K85" s="32"/>
      <c r="L85" s="33">
        <v>0</v>
      </c>
      <c r="M85" s="33">
        <v>8343</v>
      </c>
      <c r="N85" s="35">
        <v>44197</v>
      </c>
      <c r="O85" s="35">
        <v>44197</v>
      </c>
      <c r="P85" s="35">
        <v>44337</v>
      </c>
      <c r="Q85" s="26" t="s">
        <v>418</v>
      </c>
      <c r="R85" s="26"/>
      <c r="S85" s="36"/>
    </row>
    <row r="86" spans="1:19">
      <c r="A86" s="27">
        <v>84</v>
      </c>
      <c r="B86" s="26">
        <v>681074011</v>
      </c>
      <c r="C86" s="27" t="s">
        <v>728</v>
      </c>
      <c r="D86" s="25" t="s">
        <v>441</v>
      </c>
      <c r="E86" s="26" t="s">
        <v>26</v>
      </c>
      <c r="F86" s="26" t="s">
        <v>229</v>
      </c>
      <c r="G86" s="25" t="s">
        <v>422</v>
      </c>
      <c r="H86" s="26">
        <v>2</v>
      </c>
      <c r="I86" s="26">
        <v>160</v>
      </c>
      <c r="J86" s="26"/>
      <c r="K86" s="32"/>
      <c r="L86" s="33">
        <v>0</v>
      </c>
      <c r="M86" s="33">
        <v>33333</v>
      </c>
      <c r="N86" s="35">
        <v>44295</v>
      </c>
      <c r="O86" s="35">
        <v>44308</v>
      </c>
      <c r="P86" s="35"/>
      <c r="Q86" s="26"/>
      <c r="R86" s="26"/>
      <c r="S86" s="26" t="s">
        <v>729</v>
      </c>
    </row>
    <row r="87" spans="1:19">
      <c r="A87" s="25">
        <v>85</v>
      </c>
      <c r="B87" s="26" t="s">
        <v>76</v>
      </c>
      <c r="C87" s="27" t="s">
        <v>728</v>
      </c>
      <c r="D87" s="25" t="s">
        <v>410</v>
      </c>
      <c r="E87" s="26" t="s">
        <v>26</v>
      </c>
      <c r="F87" s="26" t="s">
        <v>730</v>
      </c>
      <c r="G87" s="25" t="s">
        <v>415</v>
      </c>
      <c r="H87" s="26">
        <v>2</v>
      </c>
      <c r="I87" s="26">
        <v>160</v>
      </c>
      <c r="J87" s="26"/>
      <c r="K87" s="32"/>
      <c r="L87" s="33">
        <v>0</v>
      </c>
      <c r="M87" s="33">
        <v>507</v>
      </c>
      <c r="N87" s="35">
        <v>44271</v>
      </c>
      <c r="O87" s="35">
        <v>44275</v>
      </c>
      <c r="P87" s="35">
        <v>44299</v>
      </c>
      <c r="Q87" s="38" t="s">
        <v>418</v>
      </c>
      <c r="R87" s="26"/>
      <c r="S87" s="36"/>
    </row>
    <row r="88" spans="1:19">
      <c r="A88" s="27">
        <v>86</v>
      </c>
      <c r="B88" s="26" t="s">
        <v>458</v>
      </c>
      <c r="C88" s="25" t="s">
        <v>696</v>
      </c>
      <c r="D88" s="25" t="s">
        <v>410</v>
      </c>
      <c r="E88" s="26" t="s">
        <v>26</v>
      </c>
      <c r="F88" s="26" t="s">
        <v>730</v>
      </c>
      <c r="G88" s="25" t="s">
        <v>411</v>
      </c>
      <c r="H88" s="26">
        <v>1</v>
      </c>
      <c r="I88" s="26">
        <v>250</v>
      </c>
      <c r="J88" s="26"/>
      <c r="K88" s="32" t="s">
        <v>693</v>
      </c>
      <c r="L88" s="33">
        <v>0</v>
      </c>
      <c r="M88" s="33">
        <v>686</v>
      </c>
      <c r="N88" s="35">
        <v>44271</v>
      </c>
      <c r="O88" s="35"/>
      <c r="P88" s="35"/>
      <c r="Q88" s="26"/>
      <c r="R88" s="26"/>
      <c r="S88" s="36"/>
    </row>
    <row r="89" spans="1:19">
      <c r="A89" s="25">
        <v>87</v>
      </c>
      <c r="B89" s="26" t="s">
        <v>731</v>
      </c>
      <c r="C89" s="25" t="s">
        <v>696</v>
      </c>
      <c r="D89" s="25" t="s">
        <v>410</v>
      </c>
      <c r="E89" s="26" t="s">
        <v>26</v>
      </c>
      <c r="F89" s="26" t="s">
        <v>732</v>
      </c>
      <c r="G89" s="25" t="s">
        <v>415</v>
      </c>
      <c r="H89" s="26">
        <v>1</v>
      </c>
      <c r="I89" s="26">
        <v>250</v>
      </c>
      <c r="J89" s="26"/>
      <c r="K89" s="32"/>
      <c r="L89" s="33">
        <v>0</v>
      </c>
      <c r="M89" s="33">
        <v>481</v>
      </c>
      <c r="N89" s="35">
        <v>44271</v>
      </c>
      <c r="O89" s="35">
        <v>44275</v>
      </c>
      <c r="P89" s="35">
        <v>44292</v>
      </c>
      <c r="Q89" s="38" t="s">
        <v>418</v>
      </c>
      <c r="R89" s="26"/>
      <c r="S89" s="36"/>
    </row>
    <row r="90" spans="1:19">
      <c r="A90" s="27">
        <v>88</v>
      </c>
      <c r="B90" s="27" t="s">
        <v>77</v>
      </c>
      <c r="C90" s="25" t="s">
        <v>696</v>
      </c>
      <c r="D90" s="25" t="s">
        <v>410</v>
      </c>
      <c r="E90" s="26" t="s">
        <v>26</v>
      </c>
      <c r="F90" s="26" t="s">
        <v>229</v>
      </c>
      <c r="G90" s="25" t="s">
        <v>707</v>
      </c>
      <c r="H90" s="26"/>
      <c r="I90" s="26"/>
      <c r="J90" s="26"/>
      <c r="K90" s="32"/>
      <c r="L90" s="33">
        <v>0</v>
      </c>
      <c r="M90" s="33">
        <v>0</v>
      </c>
      <c r="N90" s="35">
        <v>1</v>
      </c>
      <c r="O90" s="35">
        <v>1</v>
      </c>
      <c r="P90" s="35">
        <v>1</v>
      </c>
      <c r="Q90" s="26" t="s">
        <v>418</v>
      </c>
      <c r="R90" s="26"/>
      <c r="S90" s="36"/>
    </row>
    <row r="91" spans="1:19">
      <c r="A91" s="25">
        <v>89</v>
      </c>
      <c r="B91" s="27" t="s">
        <v>733</v>
      </c>
      <c r="C91" s="27" t="s">
        <v>728</v>
      </c>
      <c r="D91" s="25" t="s">
        <v>410</v>
      </c>
      <c r="E91" s="28" t="s">
        <v>26</v>
      </c>
      <c r="F91" s="26" t="s">
        <v>229</v>
      </c>
      <c r="G91" s="25" t="s">
        <v>491</v>
      </c>
      <c r="H91" s="26">
        <v>2</v>
      </c>
      <c r="I91" s="26">
        <v>160</v>
      </c>
      <c r="J91" s="26"/>
      <c r="K91" s="32"/>
      <c r="L91" s="33">
        <v>0</v>
      </c>
      <c r="M91" s="33">
        <v>1017</v>
      </c>
      <c r="N91" s="35">
        <v>44271</v>
      </c>
      <c r="O91" s="35">
        <v>44275</v>
      </c>
      <c r="P91" s="35">
        <v>44288</v>
      </c>
      <c r="Q91" s="38" t="s">
        <v>418</v>
      </c>
      <c r="R91" s="26" t="s">
        <v>722</v>
      </c>
      <c r="S91" s="36"/>
    </row>
    <row r="92" spans="1:19">
      <c r="A92" s="27">
        <v>90</v>
      </c>
      <c r="B92" s="27" t="s">
        <v>78</v>
      </c>
      <c r="C92" s="25" t="s">
        <v>696</v>
      </c>
      <c r="D92" s="25" t="s">
        <v>410</v>
      </c>
      <c r="E92" s="26" t="s">
        <v>26</v>
      </c>
      <c r="F92" s="26" t="s">
        <v>229</v>
      </c>
      <c r="G92" s="25" t="s">
        <v>707</v>
      </c>
      <c r="H92" s="26"/>
      <c r="I92" s="26"/>
      <c r="J92" s="26"/>
      <c r="K92" s="32"/>
      <c r="L92" s="33">
        <v>0</v>
      </c>
      <c r="M92" s="33">
        <v>2291</v>
      </c>
      <c r="N92" s="35">
        <v>1</v>
      </c>
      <c r="O92" s="35">
        <v>1</v>
      </c>
      <c r="P92" s="35">
        <v>1</v>
      </c>
      <c r="Q92" s="26" t="s">
        <v>418</v>
      </c>
      <c r="R92" s="26"/>
      <c r="S92" s="36"/>
    </row>
    <row r="93" spans="1:19">
      <c r="A93" s="25">
        <v>91</v>
      </c>
      <c r="B93" s="26" t="s">
        <v>79</v>
      </c>
      <c r="C93" s="25" t="s">
        <v>696</v>
      </c>
      <c r="D93" s="25" t="s">
        <v>410</v>
      </c>
      <c r="E93" s="26" t="s">
        <v>26</v>
      </c>
      <c r="F93" s="26" t="s">
        <v>229</v>
      </c>
      <c r="G93" s="25" t="s">
        <v>707</v>
      </c>
      <c r="H93" s="26">
        <v>2</v>
      </c>
      <c r="I93" s="26">
        <v>250</v>
      </c>
      <c r="J93" s="26"/>
      <c r="K93" s="32"/>
      <c r="L93" s="33">
        <v>0</v>
      </c>
      <c r="M93" s="33">
        <v>2291</v>
      </c>
      <c r="N93" s="35">
        <v>1</v>
      </c>
      <c r="O93" s="35">
        <v>1</v>
      </c>
      <c r="P93" s="35">
        <v>1</v>
      </c>
      <c r="Q93" s="26" t="s">
        <v>418</v>
      </c>
      <c r="R93" s="26"/>
      <c r="S93" s="36"/>
    </row>
    <row r="94" spans="1:19">
      <c r="A94" s="27">
        <v>92</v>
      </c>
      <c r="B94" s="27" t="s">
        <v>80</v>
      </c>
      <c r="C94" s="25" t="s">
        <v>696</v>
      </c>
      <c r="D94" s="25" t="s">
        <v>410</v>
      </c>
      <c r="E94" s="26" t="s">
        <v>26</v>
      </c>
      <c r="F94" s="26" t="s">
        <v>229</v>
      </c>
      <c r="G94" s="25" t="s">
        <v>707</v>
      </c>
      <c r="H94" s="26"/>
      <c r="I94" s="26"/>
      <c r="J94" s="26"/>
      <c r="K94" s="32"/>
      <c r="L94" s="33">
        <v>0</v>
      </c>
      <c r="M94" s="33">
        <v>1359</v>
      </c>
      <c r="N94" s="35">
        <v>1</v>
      </c>
      <c r="O94" s="35">
        <v>1</v>
      </c>
      <c r="P94" s="35">
        <v>1</v>
      </c>
      <c r="Q94" s="26" t="s">
        <v>418</v>
      </c>
      <c r="R94" s="26"/>
      <c r="S94" s="36"/>
    </row>
    <row r="95" spans="1:19">
      <c r="A95" s="25">
        <v>93</v>
      </c>
      <c r="B95" s="27" t="s">
        <v>734</v>
      </c>
      <c r="C95" s="25" t="s">
        <v>696</v>
      </c>
      <c r="D95" s="25" t="s">
        <v>410</v>
      </c>
      <c r="E95" s="26" t="s">
        <v>26</v>
      </c>
      <c r="F95" s="26" t="s">
        <v>229</v>
      </c>
      <c r="G95" s="25" t="s">
        <v>707</v>
      </c>
      <c r="H95" s="26"/>
      <c r="I95" s="26"/>
      <c r="J95" s="26"/>
      <c r="K95" s="32"/>
      <c r="L95" s="33">
        <v>0</v>
      </c>
      <c r="M95" s="33">
        <v>1958</v>
      </c>
      <c r="N95" s="35">
        <v>1</v>
      </c>
      <c r="O95" s="35">
        <v>1</v>
      </c>
      <c r="P95" s="35">
        <v>1</v>
      </c>
      <c r="Q95" s="26" t="s">
        <v>418</v>
      </c>
      <c r="R95" s="26"/>
      <c r="S95" s="36"/>
    </row>
    <row r="96" spans="1:19">
      <c r="A96" s="27">
        <v>94</v>
      </c>
      <c r="B96" s="26" t="s">
        <v>83</v>
      </c>
      <c r="C96" s="25" t="s">
        <v>696</v>
      </c>
      <c r="D96" s="25" t="s">
        <v>410</v>
      </c>
      <c r="E96" s="26" t="s">
        <v>26</v>
      </c>
      <c r="F96" s="26" t="s">
        <v>229</v>
      </c>
      <c r="G96" s="25" t="s">
        <v>707</v>
      </c>
      <c r="H96" s="26"/>
      <c r="I96" s="26"/>
      <c r="J96" s="26"/>
      <c r="K96" s="32"/>
      <c r="L96" s="33">
        <v>0</v>
      </c>
      <c r="M96" s="33">
        <v>2208</v>
      </c>
      <c r="N96" s="35">
        <v>1</v>
      </c>
      <c r="O96" s="35">
        <v>1</v>
      </c>
      <c r="P96" s="35">
        <v>1</v>
      </c>
      <c r="Q96" s="26" t="s">
        <v>418</v>
      </c>
      <c r="R96" s="26"/>
      <c r="S96" s="36"/>
    </row>
    <row r="97" spans="1:19">
      <c r="A97" s="25">
        <v>95</v>
      </c>
      <c r="B97" s="26" t="s">
        <v>84</v>
      </c>
      <c r="C97" s="25" t="s">
        <v>696</v>
      </c>
      <c r="D97" s="25" t="s">
        <v>410</v>
      </c>
      <c r="E97" s="26" t="s">
        <v>26</v>
      </c>
      <c r="F97" s="26" t="s">
        <v>229</v>
      </c>
      <c r="G97" s="25" t="s">
        <v>707</v>
      </c>
      <c r="H97" s="26"/>
      <c r="I97" s="26"/>
      <c r="J97" s="26"/>
      <c r="K97" s="32"/>
      <c r="L97" s="33">
        <v>0</v>
      </c>
      <c r="M97" s="33">
        <v>2892</v>
      </c>
      <c r="N97" s="35">
        <v>1</v>
      </c>
      <c r="O97" s="35">
        <v>1</v>
      </c>
      <c r="P97" s="35">
        <v>1</v>
      </c>
      <c r="Q97" s="26" t="s">
        <v>418</v>
      </c>
      <c r="R97" s="26"/>
      <c r="S97" s="36"/>
    </row>
    <row r="98" spans="1:19">
      <c r="A98" s="27">
        <v>96</v>
      </c>
      <c r="B98" s="27" t="s">
        <v>85</v>
      </c>
      <c r="C98" s="25" t="s">
        <v>696</v>
      </c>
      <c r="D98" s="25" t="s">
        <v>410</v>
      </c>
      <c r="E98" s="26" t="s">
        <v>26</v>
      </c>
      <c r="F98" s="26" t="s">
        <v>229</v>
      </c>
      <c r="G98" s="25" t="s">
        <v>707</v>
      </c>
      <c r="H98" s="26"/>
      <c r="I98" s="26"/>
      <c r="J98" s="26"/>
      <c r="K98" s="32"/>
      <c r="L98" s="33">
        <v>0</v>
      </c>
      <c r="M98" s="33">
        <v>3297</v>
      </c>
      <c r="N98" s="35">
        <v>1</v>
      </c>
      <c r="O98" s="35">
        <v>1</v>
      </c>
      <c r="P98" s="35">
        <v>1</v>
      </c>
      <c r="Q98" s="26" t="s">
        <v>418</v>
      </c>
      <c r="R98" s="26"/>
      <c r="S98" s="36"/>
    </row>
    <row r="99" spans="1:19">
      <c r="A99" s="25">
        <v>97</v>
      </c>
      <c r="B99" s="26" t="s">
        <v>460</v>
      </c>
      <c r="C99" s="25" t="s">
        <v>696</v>
      </c>
      <c r="D99" s="25" t="s">
        <v>410</v>
      </c>
      <c r="E99" s="26" t="s">
        <v>26</v>
      </c>
      <c r="F99" s="26" t="s">
        <v>229</v>
      </c>
      <c r="G99" s="25" t="s">
        <v>422</v>
      </c>
      <c r="H99" s="26">
        <v>2</v>
      </c>
      <c r="I99" s="26">
        <v>160</v>
      </c>
      <c r="J99" s="26"/>
      <c r="K99" s="36" t="s">
        <v>401</v>
      </c>
      <c r="L99" s="33">
        <v>13906.6666666667</v>
      </c>
      <c r="M99" s="33">
        <v>19094</v>
      </c>
      <c r="N99" s="35">
        <v>44271</v>
      </c>
      <c r="O99" s="35" t="s">
        <v>462</v>
      </c>
      <c r="P99" s="35"/>
      <c r="Q99" s="38" t="s">
        <v>735</v>
      </c>
      <c r="R99" s="26"/>
      <c r="S99" s="36"/>
    </row>
    <row r="100" spans="1:19">
      <c r="A100" s="27">
        <v>98</v>
      </c>
      <c r="B100" s="27" t="s">
        <v>86</v>
      </c>
      <c r="C100" s="25" t="s">
        <v>696</v>
      </c>
      <c r="D100" s="25" t="s">
        <v>410</v>
      </c>
      <c r="E100" s="26" t="s">
        <v>26</v>
      </c>
      <c r="F100" s="26" t="s">
        <v>229</v>
      </c>
      <c r="G100" s="25" t="s">
        <v>707</v>
      </c>
      <c r="H100" s="26"/>
      <c r="I100" s="26"/>
      <c r="J100" s="26"/>
      <c r="K100" s="32"/>
      <c r="L100" s="33">
        <v>0</v>
      </c>
      <c r="M100" s="33">
        <v>3774</v>
      </c>
      <c r="N100" s="35">
        <v>1</v>
      </c>
      <c r="O100" s="35">
        <v>1</v>
      </c>
      <c r="P100" s="35">
        <v>1</v>
      </c>
      <c r="Q100" s="26" t="s">
        <v>418</v>
      </c>
      <c r="R100" s="26"/>
      <c r="S100" s="36"/>
    </row>
    <row r="101" spans="1:19">
      <c r="A101" s="25">
        <v>99</v>
      </c>
      <c r="B101" s="26" t="s">
        <v>463</v>
      </c>
      <c r="C101" s="25" t="s">
        <v>696</v>
      </c>
      <c r="D101" s="25" t="s">
        <v>410</v>
      </c>
      <c r="E101" s="26" t="s">
        <v>26</v>
      </c>
      <c r="F101" s="26" t="s">
        <v>229</v>
      </c>
      <c r="G101" s="25" t="s">
        <v>411</v>
      </c>
      <c r="H101" s="26">
        <v>2</v>
      </c>
      <c r="I101" s="26">
        <v>160</v>
      </c>
      <c r="J101" s="26"/>
      <c r="K101" s="32" t="s">
        <v>693</v>
      </c>
      <c r="L101" s="33">
        <v>12097</v>
      </c>
      <c r="M101" s="33">
        <v>11273</v>
      </c>
      <c r="N101" s="35">
        <v>44271</v>
      </c>
      <c r="O101" s="35"/>
      <c r="P101" s="35"/>
      <c r="Q101" s="26"/>
      <c r="R101" s="26"/>
      <c r="S101" s="36"/>
    </row>
    <row r="102" spans="1:19">
      <c r="A102" s="27">
        <v>100</v>
      </c>
      <c r="B102" s="27" t="s">
        <v>87</v>
      </c>
      <c r="C102" s="25" t="s">
        <v>696</v>
      </c>
      <c r="D102" s="25" t="s">
        <v>410</v>
      </c>
      <c r="E102" s="26" t="s">
        <v>26</v>
      </c>
      <c r="F102" s="26" t="s">
        <v>229</v>
      </c>
      <c r="G102" s="25" t="s">
        <v>707</v>
      </c>
      <c r="H102" s="26"/>
      <c r="I102" s="26"/>
      <c r="J102" s="26"/>
      <c r="K102" s="32"/>
      <c r="L102" s="33">
        <v>0</v>
      </c>
      <c r="M102" s="33">
        <v>10282</v>
      </c>
      <c r="N102" s="35">
        <v>1</v>
      </c>
      <c r="O102" s="35">
        <v>1</v>
      </c>
      <c r="P102" s="35">
        <v>1</v>
      </c>
      <c r="Q102" s="26" t="s">
        <v>418</v>
      </c>
      <c r="R102" s="26"/>
      <c r="S102" s="36"/>
    </row>
    <row r="103" spans="1:19">
      <c r="A103" s="25">
        <v>101</v>
      </c>
      <c r="B103" s="27" t="s">
        <v>736</v>
      </c>
      <c r="C103" s="25" t="s">
        <v>696</v>
      </c>
      <c r="D103" s="25" t="s">
        <v>410</v>
      </c>
      <c r="E103" s="26" t="s">
        <v>26</v>
      </c>
      <c r="F103" s="26" t="s">
        <v>229</v>
      </c>
      <c r="G103" s="25" t="s">
        <v>707</v>
      </c>
      <c r="H103" s="26"/>
      <c r="I103" s="26"/>
      <c r="J103" s="26"/>
      <c r="K103" s="32"/>
      <c r="L103" s="33">
        <v>0</v>
      </c>
      <c r="M103" s="33">
        <v>0</v>
      </c>
      <c r="N103" s="35">
        <v>1</v>
      </c>
      <c r="O103" s="35">
        <v>1</v>
      </c>
      <c r="P103" s="35">
        <v>1</v>
      </c>
      <c r="Q103" s="26" t="s">
        <v>418</v>
      </c>
      <c r="R103" s="26"/>
      <c r="S103" s="36"/>
    </row>
    <row r="104" spans="1:19">
      <c r="A104" s="27">
        <v>102</v>
      </c>
      <c r="B104" s="27" t="s">
        <v>88</v>
      </c>
      <c r="C104" s="25" t="s">
        <v>696</v>
      </c>
      <c r="D104" s="25" t="s">
        <v>410</v>
      </c>
      <c r="E104" s="26" t="s">
        <v>26</v>
      </c>
      <c r="F104" s="26" t="s">
        <v>229</v>
      </c>
      <c r="G104" s="25" t="s">
        <v>707</v>
      </c>
      <c r="H104" s="26"/>
      <c r="I104" s="26"/>
      <c r="J104" s="26"/>
      <c r="K104" s="32"/>
      <c r="L104" s="33">
        <v>0</v>
      </c>
      <c r="M104" s="33">
        <v>1339</v>
      </c>
      <c r="N104" s="35">
        <v>1</v>
      </c>
      <c r="O104" s="35">
        <v>1</v>
      </c>
      <c r="P104" s="35">
        <v>1</v>
      </c>
      <c r="Q104" s="26" t="s">
        <v>418</v>
      </c>
      <c r="R104" s="26"/>
      <c r="S104" s="36"/>
    </row>
    <row r="105" spans="1:19">
      <c r="A105" s="25">
        <v>103</v>
      </c>
      <c r="B105" s="26" t="s">
        <v>89</v>
      </c>
      <c r="C105" s="25" t="s">
        <v>696</v>
      </c>
      <c r="D105" s="25" t="s">
        <v>410</v>
      </c>
      <c r="E105" s="26" t="s">
        <v>26</v>
      </c>
      <c r="F105" s="26" t="s">
        <v>229</v>
      </c>
      <c r="G105" s="25" t="s">
        <v>707</v>
      </c>
      <c r="H105" s="26"/>
      <c r="I105" s="26"/>
      <c r="J105" s="26"/>
      <c r="K105" s="32"/>
      <c r="L105" s="33">
        <v>0</v>
      </c>
      <c r="M105" s="33">
        <v>618</v>
      </c>
      <c r="N105" s="35">
        <v>1</v>
      </c>
      <c r="O105" s="35">
        <v>1</v>
      </c>
      <c r="P105" s="35">
        <v>1</v>
      </c>
      <c r="Q105" s="26" t="s">
        <v>418</v>
      </c>
      <c r="R105" s="26"/>
      <c r="S105" s="36"/>
    </row>
    <row r="106" spans="1:19">
      <c r="A106" s="27">
        <v>104</v>
      </c>
      <c r="B106" s="27" t="s">
        <v>282</v>
      </c>
      <c r="C106" s="25" t="s">
        <v>696</v>
      </c>
      <c r="D106" s="25" t="s">
        <v>410</v>
      </c>
      <c r="E106" s="26" t="s">
        <v>26</v>
      </c>
      <c r="F106" s="26" t="s">
        <v>737</v>
      </c>
      <c r="G106" s="25" t="s">
        <v>707</v>
      </c>
      <c r="H106" s="26"/>
      <c r="I106" s="26"/>
      <c r="J106" s="26"/>
      <c r="K106" s="32"/>
      <c r="L106" s="33">
        <v>0</v>
      </c>
      <c r="M106" s="33">
        <v>9198</v>
      </c>
      <c r="N106" s="35">
        <v>1</v>
      </c>
      <c r="O106" s="35">
        <v>1</v>
      </c>
      <c r="P106" s="35">
        <v>1</v>
      </c>
      <c r="Q106" s="26" t="s">
        <v>418</v>
      </c>
      <c r="R106" s="26"/>
      <c r="S106" s="36"/>
    </row>
    <row r="107" spans="1:19">
      <c r="A107" s="25">
        <v>105</v>
      </c>
      <c r="B107" s="26" t="s">
        <v>464</v>
      </c>
      <c r="C107" s="27" t="s">
        <v>728</v>
      </c>
      <c r="D107" s="25" t="s">
        <v>410</v>
      </c>
      <c r="E107" s="26" t="s">
        <v>26</v>
      </c>
      <c r="F107" s="26" t="s">
        <v>738</v>
      </c>
      <c r="G107" s="25" t="s">
        <v>411</v>
      </c>
      <c r="H107" s="26">
        <v>1</v>
      </c>
      <c r="I107" s="26">
        <v>160</v>
      </c>
      <c r="J107" s="26"/>
      <c r="K107" s="36" t="s">
        <v>401</v>
      </c>
      <c r="L107" s="33">
        <v>9309.33333333333</v>
      </c>
      <c r="M107" s="33">
        <v>9686</v>
      </c>
      <c r="N107" s="35">
        <v>44271</v>
      </c>
      <c r="O107" s="35"/>
      <c r="P107" s="35"/>
      <c r="Q107" s="26"/>
      <c r="R107" s="26"/>
      <c r="S107" s="36"/>
    </row>
    <row r="108" spans="1:19">
      <c r="A108" s="27">
        <v>106</v>
      </c>
      <c r="B108" s="25" t="s">
        <v>141</v>
      </c>
      <c r="C108" s="25" t="s">
        <v>696</v>
      </c>
      <c r="D108" s="25" t="s">
        <v>441</v>
      </c>
      <c r="E108" s="39" t="s">
        <v>26</v>
      </c>
      <c r="F108" s="29" t="s">
        <v>229</v>
      </c>
      <c r="G108" s="25" t="s">
        <v>415</v>
      </c>
      <c r="H108" s="26"/>
      <c r="I108" s="26"/>
      <c r="J108" s="26"/>
      <c r="K108" s="32"/>
      <c r="L108" s="33">
        <v>0</v>
      </c>
      <c r="M108" s="33">
        <v>33333</v>
      </c>
      <c r="N108" s="35">
        <v>44363</v>
      </c>
      <c r="O108" s="35">
        <v>44308</v>
      </c>
      <c r="P108" s="35">
        <v>44371</v>
      </c>
      <c r="Q108" s="26" t="s">
        <v>418</v>
      </c>
      <c r="R108" s="26"/>
      <c r="S108" s="36"/>
    </row>
    <row r="109" spans="1:19">
      <c r="A109" s="25">
        <v>107</v>
      </c>
      <c r="B109" s="26" t="s">
        <v>739</v>
      </c>
      <c r="C109" s="27" t="s">
        <v>728</v>
      </c>
      <c r="D109" s="25" t="s">
        <v>441</v>
      </c>
      <c r="E109" s="26" t="s">
        <v>26</v>
      </c>
      <c r="F109" s="26" t="s">
        <v>229</v>
      </c>
      <c r="G109" s="25" t="s">
        <v>415</v>
      </c>
      <c r="H109" s="26">
        <v>2</v>
      </c>
      <c r="I109" s="26">
        <v>100</v>
      </c>
      <c r="J109" s="26"/>
      <c r="K109" s="32"/>
      <c r="L109" s="33">
        <v>1760</v>
      </c>
      <c r="M109" s="33">
        <v>5000</v>
      </c>
      <c r="N109" s="35">
        <v>44295</v>
      </c>
      <c r="O109" s="35">
        <v>44299</v>
      </c>
      <c r="P109" s="35">
        <v>44357</v>
      </c>
      <c r="Q109" s="38" t="s">
        <v>418</v>
      </c>
      <c r="R109" s="26"/>
      <c r="S109" s="36" t="s">
        <v>740</v>
      </c>
    </row>
    <row r="110" spans="1:19">
      <c r="A110" s="27">
        <v>108</v>
      </c>
      <c r="B110" s="41" t="s">
        <v>142</v>
      </c>
      <c r="C110" s="25" t="s">
        <v>696</v>
      </c>
      <c r="D110" s="25" t="s">
        <v>441</v>
      </c>
      <c r="E110" s="26" t="s">
        <v>26</v>
      </c>
      <c r="F110" s="26" t="s">
        <v>229</v>
      </c>
      <c r="G110" s="25"/>
      <c r="H110" s="26"/>
      <c r="I110" s="26"/>
      <c r="J110" s="26"/>
      <c r="K110" s="32"/>
      <c r="L110" s="33">
        <v>1760</v>
      </c>
      <c r="M110" s="33"/>
      <c r="N110" s="35"/>
      <c r="O110" s="35"/>
      <c r="P110" s="35"/>
      <c r="Q110" s="38"/>
      <c r="R110" s="26"/>
      <c r="S110" s="38" t="s">
        <v>741</v>
      </c>
    </row>
    <row r="111" spans="1:19">
      <c r="A111" s="25">
        <v>109</v>
      </c>
      <c r="B111" s="26" t="s">
        <v>742</v>
      </c>
      <c r="C111" s="27" t="s">
        <v>728</v>
      </c>
      <c r="D111" s="25" t="s">
        <v>441</v>
      </c>
      <c r="E111" s="26" t="s">
        <v>26</v>
      </c>
      <c r="F111" s="26" t="s">
        <v>229</v>
      </c>
      <c r="G111" s="25" t="s">
        <v>415</v>
      </c>
      <c r="H111" s="26">
        <v>2</v>
      </c>
      <c r="I111" s="26">
        <v>160</v>
      </c>
      <c r="J111" s="26"/>
      <c r="K111" s="32"/>
      <c r="L111" s="33">
        <v>40293</v>
      </c>
      <c r="M111" s="33">
        <v>33333</v>
      </c>
      <c r="N111" s="35">
        <v>44295</v>
      </c>
      <c r="O111" s="35">
        <v>44308</v>
      </c>
      <c r="P111" s="35">
        <v>44357</v>
      </c>
      <c r="Q111" s="26" t="s">
        <v>418</v>
      </c>
      <c r="R111" s="26"/>
      <c r="S111" s="36" t="s">
        <v>743</v>
      </c>
    </row>
    <row r="112" spans="1:19">
      <c r="A112" s="27">
        <v>110</v>
      </c>
      <c r="B112" s="41" t="s">
        <v>143</v>
      </c>
      <c r="C112" s="25" t="s">
        <v>696</v>
      </c>
      <c r="D112" s="25" t="s">
        <v>441</v>
      </c>
      <c r="E112" s="26" t="s">
        <v>26</v>
      </c>
      <c r="F112" s="26" t="s">
        <v>229</v>
      </c>
      <c r="G112" s="25"/>
      <c r="H112" s="26"/>
      <c r="I112" s="26"/>
      <c r="J112" s="26"/>
      <c r="K112" s="36" t="s">
        <v>401</v>
      </c>
      <c r="L112" s="33">
        <v>40293</v>
      </c>
      <c r="M112" s="33"/>
      <c r="N112" s="35"/>
      <c r="O112" s="35"/>
      <c r="P112" s="35"/>
      <c r="Q112" s="38"/>
      <c r="R112" s="26"/>
      <c r="S112" s="38" t="s">
        <v>741</v>
      </c>
    </row>
    <row r="113" spans="1:19">
      <c r="A113" s="25">
        <v>111</v>
      </c>
      <c r="B113" s="26" t="s">
        <v>744</v>
      </c>
      <c r="C113" s="27" t="s">
        <v>728</v>
      </c>
      <c r="D113" s="25" t="s">
        <v>441</v>
      </c>
      <c r="E113" s="26" t="s">
        <v>26</v>
      </c>
      <c r="F113" s="26" t="s">
        <v>229</v>
      </c>
      <c r="G113" s="25" t="s">
        <v>415</v>
      </c>
      <c r="H113" s="26">
        <v>2</v>
      </c>
      <c r="I113" s="26">
        <v>160</v>
      </c>
      <c r="J113" s="26"/>
      <c r="K113" s="32"/>
      <c r="L113" s="33">
        <v>112731.2</v>
      </c>
      <c r="M113" s="33">
        <v>10000</v>
      </c>
      <c r="N113" s="35">
        <v>44295</v>
      </c>
      <c r="O113" s="35">
        <v>44295</v>
      </c>
      <c r="P113" s="35" t="s">
        <v>745</v>
      </c>
      <c r="Q113" s="26"/>
      <c r="R113" s="26"/>
      <c r="S113" s="36" t="s">
        <v>746</v>
      </c>
    </row>
    <row r="114" spans="1:19">
      <c r="A114" s="27">
        <v>112</v>
      </c>
      <c r="B114" s="42" t="s">
        <v>144</v>
      </c>
      <c r="C114" s="25" t="s">
        <v>696</v>
      </c>
      <c r="D114" s="25" t="s">
        <v>441</v>
      </c>
      <c r="E114" s="26" t="s">
        <v>26</v>
      </c>
      <c r="F114" s="26" t="s">
        <v>229</v>
      </c>
      <c r="G114" s="25"/>
      <c r="H114" s="26"/>
      <c r="I114" s="26"/>
      <c r="J114" s="26"/>
      <c r="K114" s="32"/>
      <c r="L114" s="33">
        <v>112731.2</v>
      </c>
      <c r="M114" s="33"/>
      <c r="N114" s="35"/>
      <c r="O114" s="35"/>
      <c r="P114" s="35"/>
      <c r="Q114" s="38"/>
      <c r="R114" s="26"/>
      <c r="S114" s="38" t="s">
        <v>741</v>
      </c>
    </row>
    <row r="115" spans="1:19">
      <c r="A115" s="25">
        <v>113</v>
      </c>
      <c r="B115" s="27" t="s">
        <v>145</v>
      </c>
      <c r="C115" s="27" t="s">
        <v>728</v>
      </c>
      <c r="D115" s="25" t="s">
        <v>441</v>
      </c>
      <c r="E115" s="26" t="s">
        <v>26</v>
      </c>
      <c r="F115" s="26" t="s">
        <v>698</v>
      </c>
      <c r="G115" s="25" t="s">
        <v>415</v>
      </c>
      <c r="H115" s="26">
        <v>1</v>
      </c>
      <c r="I115" s="26">
        <v>160</v>
      </c>
      <c r="J115" s="26"/>
      <c r="K115" s="32"/>
      <c r="L115" s="33">
        <v>33402</v>
      </c>
      <c r="M115" s="33">
        <v>50000</v>
      </c>
      <c r="N115" s="35">
        <v>44258</v>
      </c>
      <c r="O115" s="35">
        <v>44272</v>
      </c>
      <c r="P115" s="35">
        <v>44292</v>
      </c>
      <c r="Q115" s="38" t="s">
        <v>418</v>
      </c>
      <c r="R115" s="26"/>
      <c r="S115" s="36"/>
    </row>
    <row r="116" spans="1:19">
      <c r="A116" s="27">
        <v>114</v>
      </c>
      <c r="B116" s="26" t="s">
        <v>146</v>
      </c>
      <c r="C116" s="27" t="s">
        <v>728</v>
      </c>
      <c r="D116" s="25" t="s">
        <v>441</v>
      </c>
      <c r="E116" s="26" t="s">
        <v>26</v>
      </c>
      <c r="F116" s="26" t="s">
        <v>229</v>
      </c>
      <c r="G116" s="25" t="s">
        <v>415</v>
      </c>
      <c r="H116" s="26">
        <v>2</v>
      </c>
      <c r="I116" s="26">
        <v>168</v>
      </c>
      <c r="J116" s="26"/>
      <c r="K116" s="32"/>
      <c r="L116" s="33">
        <v>2640</v>
      </c>
      <c r="M116" s="33">
        <v>10000</v>
      </c>
      <c r="N116" s="35">
        <v>44295</v>
      </c>
      <c r="O116" s="35">
        <v>44299</v>
      </c>
      <c r="P116" s="35">
        <v>44315</v>
      </c>
      <c r="Q116" s="26"/>
      <c r="R116" s="26"/>
      <c r="S116" s="36" t="s">
        <v>747</v>
      </c>
    </row>
    <row r="117" spans="1:19">
      <c r="A117" s="25">
        <v>115</v>
      </c>
      <c r="B117" s="43" t="s">
        <v>748</v>
      </c>
      <c r="C117" s="25" t="s">
        <v>696</v>
      </c>
      <c r="D117" s="25" t="s">
        <v>441</v>
      </c>
      <c r="E117" s="26" t="s">
        <v>26</v>
      </c>
      <c r="F117" s="26" t="s">
        <v>229</v>
      </c>
      <c r="G117" s="25"/>
      <c r="H117" s="26"/>
      <c r="I117" s="26"/>
      <c r="J117" s="26"/>
      <c r="K117" s="32"/>
      <c r="L117" s="33">
        <v>2640</v>
      </c>
      <c r="M117" s="33"/>
      <c r="N117" s="35"/>
      <c r="O117" s="35"/>
      <c r="P117" s="35"/>
      <c r="Q117" s="26"/>
      <c r="R117" s="26"/>
      <c r="S117" s="36"/>
    </row>
    <row r="118" spans="1:19">
      <c r="A118" s="27">
        <v>116</v>
      </c>
      <c r="B118" s="26" t="s">
        <v>749</v>
      </c>
      <c r="C118" s="27" t="s">
        <v>728</v>
      </c>
      <c r="D118" s="25" t="s">
        <v>441</v>
      </c>
      <c r="E118" s="26" t="s">
        <v>26</v>
      </c>
      <c r="F118" s="26" t="s">
        <v>229</v>
      </c>
      <c r="G118" s="25" t="s">
        <v>415</v>
      </c>
      <c r="H118" s="26">
        <v>4</v>
      </c>
      <c r="I118" s="26">
        <v>160</v>
      </c>
      <c r="J118" s="26"/>
      <c r="K118" s="32"/>
      <c r="L118" s="33">
        <v>9837.6</v>
      </c>
      <c r="M118" s="33">
        <v>8000</v>
      </c>
      <c r="N118" s="35">
        <v>44295</v>
      </c>
      <c r="O118" s="35">
        <v>44341</v>
      </c>
      <c r="P118" s="35">
        <v>44358</v>
      </c>
      <c r="Q118" s="38" t="s">
        <v>418</v>
      </c>
      <c r="R118" s="26"/>
      <c r="S118" s="36"/>
    </row>
    <row r="119" spans="1:19">
      <c r="A119" s="25">
        <v>117</v>
      </c>
      <c r="B119" s="25" t="s">
        <v>147</v>
      </c>
      <c r="C119" s="25" t="s">
        <v>696</v>
      </c>
      <c r="D119" s="25" t="s">
        <v>441</v>
      </c>
      <c r="E119" s="39" t="s">
        <v>26</v>
      </c>
      <c r="F119" s="29" t="s">
        <v>229</v>
      </c>
      <c r="G119" s="25" t="s">
        <v>415</v>
      </c>
      <c r="H119" s="26"/>
      <c r="I119" s="26"/>
      <c r="J119" s="26"/>
      <c r="K119" s="32"/>
      <c r="L119" s="33">
        <v>9837.6</v>
      </c>
      <c r="M119" s="33">
        <v>8000</v>
      </c>
      <c r="N119" s="35">
        <v>44363</v>
      </c>
      <c r="O119" s="35">
        <v>44341</v>
      </c>
      <c r="P119" s="35">
        <v>44373</v>
      </c>
      <c r="Q119" s="26" t="s">
        <v>418</v>
      </c>
      <c r="R119" s="26"/>
      <c r="S119" s="36"/>
    </row>
    <row r="120" spans="1:19">
      <c r="A120" s="27">
        <v>118</v>
      </c>
      <c r="B120" s="27" t="s">
        <v>148</v>
      </c>
      <c r="C120" s="27" t="s">
        <v>728</v>
      </c>
      <c r="D120" s="25" t="s">
        <v>441</v>
      </c>
      <c r="E120" s="26" t="s">
        <v>26</v>
      </c>
      <c r="F120" s="26" t="s">
        <v>229</v>
      </c>
      <c r="G120" s="25" t="s">
        <v>415</v>
      </c>
      <c r="H120" s="26">
        <v>2</v>
      </c>
      <c r="I120" s="26">
        <v>160</v>
      </c>
      <c r="J120" s="26"/>
      <c r="K120" s="32"/>
      <c r="L120" s="33">
        <v>1236.66666666667</v>
      </c>
      <c r="M120" s="33">
        <v>2000</v>
      </c>
      <c r="N120" s="35">
        <v>44258</v>
      </c>
      <c r="O120" s="35">
        <v>44272</v>
      </c>
      <c r="P120" s="35">
        <v>44292</v>
      </c>
      <c r="Q120" s="38" t="s">
        <v>418</v>
      </c>
      <c r="R120" s="26"/>
      <c r="S120" s="36"/>
    </row>
    <row r="121" spans="1:19">
      <c r="A121" s="25">
        <v>119</v>
      </c>
      <c r="B121" s="27" t="s">
        <v>149</v>
      </c>
      <c r="C121" s="27" t="s">
        <v>728</v>
      </c>
      <c r="D121" s="25" t="s">
        <v>441</v>
      </c>
      <c r="E121" s="26" t="s">
        <v>26</v>
      </c>
      <c r="F121" s="26" t="s">
        <v>229</v>
      </c>
      <c r="G121" s="25" t="s">
        <v>491</v>
      </c>
      <c r="H121" s="26">
        <v>2</v>
      </c>
      <c r="I121" s="26">
        <v>250</v>
      </c>
      <c r="J121" s="26"/>
      <c r="K121" s="36" t="s">
        <v>401</v>
      </c>
      <c r="L121" s="33">
        <v>9228</v>
      </c>
      <c r="M121" s="33">
        <v>2000</v>
      </c>
      <c r="N121" s="35">
        <v>44258</v>
      </c>
      <c r="O121" s="35">
        <v>44265</v>
      </c>
      <c r="P121" s="35">
        <v>44277</v>
      </c>
      <c r="Q121" s="38" t="s">
        <v>418</v>
      </c>
      <c r="R121" s="26" t="s">
        <v>722</v>
      </c>
      <c r="S121" s="36"/>
    </row>
    <row r="122" spans="1:19">
      <c r="A122" s="27">
        <v>120</v>
      </c>
      <c r="B122" s="43" t="s">
        <v>750</v>
      </c>
      <c r="C122" s="25" t="s">
        <v>696</v>
      </c>
      <c r="D122" s="25" t="s">
        <v>441</v>
      </c>
      <c r="E122" s="26" t="s">
        <v>26</v>
      </c>
      <c r="F122" s="26" t="s">
        <v>229</v>
      </c>
      <c r="G122" s="25"/>
      <c r="H122" s="26"/>
      <c r="I122" s="26"/>
      <c r="J122" s="26"/>
      <c r="K122" s="32"/>
      <c r="L122" s="33">
        <v>9228</v>
      </c>
      <c r="M122" s="33"/>
      <c r="N122" s="35"/>
      <c r="O122" s="35"/>
      <c r="P122" s="35"/>
      <c r="Q122" s="38"/>
      <c r="R122" s="26"/>
      <c r="S122" s="38" t="s">
        <v>741</v>
      </c>
    </row>
    <row r="123" spans="1:19">
      <c r="A123" s="25">
        <v>121</v>
      </c>
      <c r="B123" s="27" t="s">
        <v>150</v>
      </c>
      <c r="C123" s="27" t="s">
        <v>728</v>
      </c>
      <c r="D123" s="25" t="s">
        <v>441</v>
      </c>
      <c r="E123" s="26" t="s">
        <v>26</v>
      </c>
      <c r="F123" s="26" t="s">
        <v>229</v>
      </c>
      <c r="G123" s="25" t="s">
        <v>415</v>
      </c>
      <c r="H123" s="26">
        <v>2</v>
      </c>
      <c r="I123" s="26">
        <v>160</v>
      </c>
      <c r="J123" s="26"/>
      <c r="K123" s="36" t="s">
        <v>401</v>
      </c>
      <c r="L123" s="33">
        <v>13771.5</v>
      </c>
      <c r="M123" s="33">
        <v>20000</v>
      </c>
      <c r="N123" s="35">
        <v>44258</v>
      </c>
      <c r="O123" s="35">
        <v>44272</v>
      </c>
      <c r="P123" s="35">
        <v>44287</v>
      </c>
      <c r="Q123" s="38" t="s">
        <v>418</v>
      </c>
      <c r="R123" s="26"/>
      <c r="S123" s="36"/>
    </row>
    <row r="124" spans="1:19">
      <c r="A124" s="27">
        <v>122</v>
      </c>
      <c r="B124" s="26" t="s">
        <v>151</v>
      </c>
      <c r="C124" s="27" t="s">
        <v>728</v>
      </c>
      <c r="D124" s="25" t="s">
        <v>441</v>
      </c>
      <c r="E124" s="26" t="s">
        <v>26</v>
      </c>
      <c r="F124" s="26" t="s">
        <v>229</v>
      </c>
      <c r="G124" s="25" t="s">
        <v>415</v>
      </c>
      <c r="H124" s="26">
        <v>2</v>
      </c>
      <c r="I124" s="26">
        <v>160</v>
      </c>
      <c r="J124" s="26"/>
      <c r="K124" s="32"/>
      <c r="L124" s="33">
        <v>1939</v>
      </c>
      <c r="M124" s="33">
        <v>2000</v>
      </c>
      <c r="N124" s="35">
        <v>44258</v>
      </c>
      <c r="O124" s="35">
        <v>44265</v>
      </c>
      <c r="P124" s="35">
        <v>44277</v>
      </c>
      <c r="Q124" s="38" t="s">
        <v>418</v>
      </c>
      <c r="R124" s="26"/>
      <c r="S124" s="36"/>
    </row>
    <row r="125" spans="1:19">
      <c r="A125" s="25">
        <v>123</v>
      </c>
      <c r="B125" s="27" t="s">
        <v>152</v>
      </c>
      <c r="C125" s="27" t="s">
        <v>728</v>
      </c>
      <c r="D125" s="25" t="s">
        <v>441</v>
      </c>
      <c r="E125" s="26" t="s">
        <v>26</v>
      </c>
      <c r="F125" s="26" t="s">
        <v>229</v>
      </c>
      <c r="G125" s="25" t="s">
        <v>491</v>
      </c>
      <c r="H125" s="26">
        <v>2</v>
      </c>
      <c r="I125" s="26">
        <v>160</v>
      </c>
      <c r="J125" s="26"/>
      <c r="K125" s="32"/>
      <c r="L125" s="33">
        <v>13612.8</v>
      </c>
      <c r="M125" s="33">
        <v>5000</v>
      </c>
      <c r="N125" s="35">
        <v>44258</v>
      </c>
      <c r="O125" s="35">
        <v>44265</v>
      </c>
      <c r="P125" s="35">
        <v>44277</v>
      </c>
      <c r="Q125" s="26" t="s">
        <v>418</v>
      </c>
      <c r="R125" s="26" t="s">
        <v>722</v>
      </c>
      <c r="S125" s="36"/>
    </row>
    <row r="126" spans="1:19">
      <c r="A126" s="27">
        <v>124</v>
      </c>
      <c r="B126" s="44" t="s">
        <v>751</v>
      </c>
      <c r="C126" s="25" t="s">
        <v>696</v>
      </c>
      <c r="D126" s="25" t="s">
        <v>441</v>
      </c>
      <c r="E126" s="26" t="s">
        <v>26</v>
      </c>
      <c r="F126" s="26" t="s">
        <v>229</v>
      </c>
      <c r="G126" s="25"/>
      <c r="H126" s="26"/>
      <c r="I126" s="26"/>
      <c r="J126" s="26"/>
      <c r="K126" s="32"/>
      <c r="L126" s="33">
        <v>13612.8</v>
      </c>
      <c r="M126" s="33"/>
      <c r="N126" s="35"/>
      <c r="O126" s="35"/>
      <c r="P126" s="35"/>
      <c r="Q126" s="26"/>
      <c r="R126" s="26"/>
      <c r="S126" s="36"/>
    </row>
    <row r="127" spans="1:19">
      <c r="A127" s="25">
        <v>125</v>
      </c>
      <c r="B127" s="26" t="s">
        <v>752</v>
      </c>
      <c r="C127" s="27" t="s">
        <v>728</v>
      </c>
      <c r="D127" s="25" t="s">
        <v>441</v>
      </c>
      <c r="E127" s="26" t="s">
        <v>26</v>
      </c>
      <c r="F127" s="26" t="s">
        <v>229</v>
      </c>
      <c r="G127" s="25" t="s">
        <v>415</v>
      </c>
      <c r="H127" s="26">
        <v>4</v>
      </c>
      <c r="I127" s="26">
        <v>250</v>
      </c>
      <c r="J127" s="26"/>
      <c r="K127" s="32"/>
      <c r="L127" s="33">
        <v>3595</v>
      </c>
      <c r="M127" s="33">
        <v>8000</v>
      </c>
      <c r="N127" s="35">
        <v>44295</v>
      </c>
      <c r="O127" s="35">
        <v>44299</v>
      </c>
      <c r="P127" s="35">
        <v>44358</v>
      </c>
      <c r="Q127" s="26" t="s">
        <v>418</v>
      </c>
      <c r="R127" s="26"/>
      <c r="S127" s="36"/>
    </row>
    <row r="128" spans="1:19">
      <c r="A128" s="27">
        <v>126</v>
      </c>
      <c r="B128" s="41" t="s">
        <v>153</v>
      </c>
      <c r="C128" s="25" t="s">
        <v>696</v>
      </c>
      <c r="D128" s="25" t="s">
        <v>441</v>
      </c>
      <c r="E128" s="26" t="s">
        <v>26</v>
      </c>
      <c r="F128" s="26" t="s">
        <v>229</v>
      </c>
      <c r="G128" s="25"/>
      <c r="H128" s="26"/>
      <c r="I128" s="26"/>
      <c r="J128" s="26"/>
      <c r="K128" s="32"/>
      <c r="L128" s="33">
        <v>3595</v>
      </c>
      <c r="M128" s="33"/>
      <c r="N128" s="35"/>
      <c r="O128" s="35"/>
      <c r="P128" s="35"/>
      <c r="Q128" s="38"/>
      <c r="R128" s="26"/>
      <c r="S128" s="38" t="s">
        <v>753</v>
      </c>
    </row>
    <row r="129" spans="1:19">
      <c r="A129" s="25">
        <v>127</v>
      </c>
      <c r="B129" s="44" t="s">
        <v>154</v>
      </c>
      <c r="C129" s="44" t="s">
        <v>728</v>
      </c>
      <c r="D129" s="25" t="s">
        <v>441</v>
      </c>
      <c r="E129" s="26" t="s">
        <v>26</v>
      </c>
      <c r="F129" s="26" t="s">
        <v>229</v>
      </c>
      <c r="G129" s="25"/>
      <c r="H129" s="26">
        <v>2</v>
      </c>
      <c r="I129" s="26">
        <v>160</v>
      </c>
      <c r="J129" s="26"/>
      <c r="K129" s="32"/>
      <c r="L129" s="33">
        <v>0</v>
      </c>
      <c r="M129" s="33"/>
      <c r="N129" s="35"/>
      <c r="O129" s="35"/>
      <c r="P129" s="35" t="s">
        <v>745</v>
      </c>
      <c r="Q129" s="26"/>
      <c r="R129" s="26"/>
      <c r="S129" s="48" t="s">
        <v>754</v>
      </c>
    </row>
    <row r="130" spans="1:19">
      <c r="A130" s="27">
        <v>128</v>
      </c>
      <c r="B130" s="27" t="s">
        <v>155</v>
      </c>
      <c r="C130" s="27" t="s">
        <v>728</v>
      </c>
      <c r="D130" s="25" t="s">
        <v>441</v>
      </c>
      <c r="E130" s="26" t="s">
        <v>26</v>
      </c>
      <c r="F130" s="26" t="s">
        <v>229</v>
      </c>
      <c r="G130" s="25" t="s">
        <v>415</v>
      </c>
      <c r="H130" s="26">
        <v>2</v>
      </c>
      <c r="I130" s="26">
        <v>160</v>
      </c>
      <c r="J130" s="26"/>
      <c r="K130" s="32"/>
      <c r="L130" s="33">
        <v>3427.73333333333</v>
      </c>
      <c r="M130" s="33">
        <v>3000</v>
      </c>
      <c r="N130" s="35">
        <v>44258</v>
      </c>
      <c r="O130" s="35">
        <v>44265</v>
      </c>
      <c r="P130" s="35">
        <v>44277</v>
      </c>
      <c r="Q130" s="38" t="s">
        <v>418</v>
      </c>
      <c r="R130" s="26"/>
      <c r="S130" s="36"/>
    </row>
    <row r="131" spans="1:19">
      <c r="A131" s="25">
        <v>129</v>
      </c>
      <c r="B131" s="27" t="s">
        <v>156</v>
      </c>
      <c r="C131" s="27" t="s">
        <v>728</v>
      </c>
      <c r="D131" s="25" t="s">
        <v>441</v>
      </c>
      <c r="E131" s="26" t="s">
        <v>26</v>
      </c>
      <c r="F131" s="26" t="s">
        <v>229</v>
      </c>
      <c r="G131" s="25" t="s">
        <v>415</v>
      </c>
      <c r="H131" s="26">
        <v>2</v>
      </c>
      <c r="I131" s="26">
        <v>160</v>
      </c>
      <c r="J131" s="26"/>
      <c r="K131" s="32"/>
      <c r="L131" s="33">
        <v>114261.6</v>
      </c>
      <c r="M131" s="33">
        <v>100000</v>
      </c>
      <c r="N131" s="35">
        <v>44258</v>
      </c>
      <c r="O131" s="35">
        <v>44272</v>
      </c>
      <c r="P131" s="35">
        <v>44287</v>
      </c>
      <c r="Q131" s="26" t="s">
        <v>418</v>
      </c>
      <c r="R131" s="26"/>
      <c r="S131" s="36"/>
    </row>
    <row r="132" spans="1:19">
      <c r="A132" s="27">
        <v>130</v>
      </c>
      <c r="B132" s="42" t="s">
        <v>158</v>
      </c>
      <c r="C132" s="25" t="s">
        <v>696</v>
      </c>
      <c r="D132" s="25" t="s">
        <v>441</v>
      </c>
      <c r="E132" s="26" t="s">
        <v>26</v>
      </c>
      <c r="F132" s="26" t="s">
        <v>229</v>
      </c>
      <c r="G132" s="25"/>
      <c r="H132" s="26"/>
      <c r="I132" s="26"/>
      <c r="J132" s="26"/>
      <c r="K132" s="32"/>
      <c r="L132" s="33">
        <v>114261.6</v>
      </c>
      <c r="M132" s="33"/>
      <c r="N132" s="35"/>
      <c r="O132" s="35"/>
      <c r="P132" s="35"/>
      <c r="Q132" s="38"/>
      <c r="R132" s="26"/>
      <c r="S132" s="38" t="s">
        <v>741</v>
      </c>
    </row>
    <row r="133" spans="1:19">
      <c r="A133" s="25">
        <v>131</v>
      </c>
      <c r="B133" s="41" t="s">
        <v>159</v>
      </c>
      <c r="C133" s="44" t="s">
        <v>728</v>
      </c>
      <c r="D133" s="25" t="s">
        <v>441</v>
      </c>
      <c r="E133" s="26" t="s">
        <v>26</v>
      </c>
      <c r="F133" s="26" t="s">
        <v>229</v>
      </c>
      <c r="G133" s="25"/>
      <c r="H133" s="26">
        <v>2</v>
      </c>
      <c r="I133" s="26">
        <v>160</v>
      </c>
      <c r="J133" s="26"/>
      <c r="K133" s="32"/>
      <c r="L133" s="33">
        <v>0</v>
      </c>
      <c r="M133" s="33"/>
      <c r="N133" s="35"/>
      <c r="O133" s="35"/>
      <c r="P133" s="35" t="s">
        <v>745</v>
      </c>
      <c r="Q133" s="26"/>
      <c r="R133" s="26"/>
      <c r="S133" s="48" t="s">
        <v>754</v>
      </c>
    </row>
    <row r="134" spans="1:19">
      <c r="A134" s="27">
        <v>132</v>
      </c>
      <c r="B134" s="26" t="s">
        <v>160</v>
      </c>
      <c r="C134" s="27" t="s">
        <v>728</v>
      </c>
      <c r="D134" s="25" t="s">
        <v>441</v>
      </c>
      <c r="E134" s="26" t="s">
        <v>26</v>
      </c>
      <c r="F134" s="26" t="s">
        <v>229</v>
      </c>
      <c r="G134" s="25" t="s">
        <v>415</v>
      </c>
      <c r="H134" s="26">
        <v>2</v>
      </c>
      <c r="I134" s="26">
        <v>160</v>
      </c>
      <c r="J134" s="26"/>
      <c r="K134" s="36" t="s">
        <v>401</v>
      </c>
      <c r="L134" s="33">
        <v>6085.46666666667</v>
      </c>
      <c r="M134" s="33">
        <v>4000</v>
      </c>
      <c r="N134" s="34">
        <v>44335</v>
      </c>
      <c r="O134" s="35">
        <v>44341</v>
      </c>
      <c r="P134" s="35">
        <v>44358</v>
      </c>
      <c r="Q134" s="38" t="s">
        <v>418</v>
      </c>
      <c r="R134" s="26"/>
      <c r="S134" s="36"/>
    </row>
    <row r="135" spans="1:19">
      <c r="A135" s="25">
        <v>133</v>
      </c>
      <c r="B135" s="27" t="s">
        <v>161</v>
      </c>
      <c r="C135" s="27" t="s">
        <v>728</v>
      </c>
      <c r="D135" s="25" t="s">
        <v>441</v>
      </c>
      <c r="E135" s="26" t="s">
        <v>26</v>
      </c>
      <c r="F135" s="26" t="s">
        <v>229</v>
      </c>
      <c r="G135" s="25" t="s">
        <v>491</v>
      </c>
      <c r="H135" s="26">
        <v>2</v>
      </c>
      <c r="I135" s="26">
        <v>160</v>
      </c>
      <c r="J135" s="26"/>
      <c r="K135" s="32"/>
      <c r="L135" s="33">
        <v>268.333333333333</v>
      </c>
      <c r="M135" s="33">
        <v>1000</v>
      </c>
      <c r="N135" s="34">
        <v>44258</v>
      </c>
      <c r="O135" s="35">
        <v>44265</v>
      </c>
      <c r="P135" s="35">
        <v>44277</v>
      </c>
      <c r="Q135" s="38" t="s">
        <v>418</v>
      </c>
      <c r="R135" s="26" t="s">
        <v>722</v>
      </c>
      <c r="S135" s="36"/>
    </row>
    <row r="136" spans="1:19">
      <c r="A136" s="27">
        <v>134</v>
      </c>
      <c r="B136" s="27" t="s">
        <v>547</v>
      </c>
      <c r="C136" s="25" t="s">
        <v>696</v>
      </c>
      <c r="D136" s="25" t="s">
        <v>414</v>
      </c>
      <c r="E136" s="26" t="s">
        <v>24</v>
      </c>
      <c r="F136" s="26" t="s">
        <v>229</v>
      </c>
      <c r="G136" s="25" t="s">
        <v>422</v>
      </c>
      <c r="H136" s="26">
        <v>2</v>
      </c>
      <c r="I136" s="26">
        <v>160</v>
      </c>
      <c r="J136" s="26"/>
      <c r="K136" s="36"/>
      <c r="L136" s="33">
        <v>3902.06666666667</v>
      </c>
      <c r="M136" s="33">
        <v>12735</v>
      </c>
      <c r="N136" s="35">
        <v>44273</v>
      </c>
      <c r="O136" s="35">
        <v>44382</v>
      </c>
      <c r="P136" s="35"/>
      <c r="Q136" s="26"/>
      <c r="R136" s="26"/>
      <c r="S136" s="36"/>
    </row>
    <row r="137" spans="1:19">
      <c r="A137" s="25">
        <v>135</v>
      </c>
      <c r="B137" s="27" t="s">
        <v>550</v>
      </c>
      <c r="C137" s="25" t="s">
        <v>696</v>
      </c>
      <c r="D137" s="25" t="s">
        <v>414</v>
      </c>
      <c r="E137" s="26" t="s">
        <v>24</v>
      </c>
      <c r="F137" s="26" t="s">
        <v>229</v>
      </c>
      <c r="G137" s="25" t="s">
        <v>411</v>
      </c>
      <c r="H137" s="26">
        <v>2</v>
      </c>
      <c r="I137" s="26">
        <v>160</v>
      </c>
      <c r="J137" s="26"/>
      <c r="K137" s="36" t="s">
        <v>401</v>
      </c>
      <c r="L137" s="33">
        <v>4265.43333333334</v>
      </c>
      <c r="M137" s="33">
        <v>8981</v>
      </c>
      <c r="N137" s="35">
        <v>44273</v>
      </c>
      <c r="O137" s="35"/>
      <c r="P137" s="35"/>
      <c r="Q137" s="26"/>
      <c r="R137" s="26"/>
      <c r="S137" s="36"/>
    </row>
    <row r="138" spans="1:19">
      <c r="A138" s="27">
        <v>136</v>
      </c>
      <c r="B138" s="27" t="s">
        <v>755</v>
      </c>
      <c r="C138" s="25" t="s">
        <v>696</v>
      </c>
      <c r="D138" s="25" t="s">
        <v>414</v>
      </c>
      <c r="E138" s="26" t="s">
        <v>24</v>
      </c>
      <c r="F138" s="26" t="s">
        <v>229</v>
      </c>
      <c r="G138" s="25" t="s">
        <v>491</v>
      </c>
      <c r="H138" s="26">
        <v>2</v>
      </c>
      <c r="I138" s="26">
        <v>160</v>
      </c>
      <c r="J138" s="26"/>
      <c r="K138" s="32"/>
      <c r="L138" s="33">
        <v>7812.2</v>
      </c>
      <c r="M138" s="33">
        <v>12500</v>
      </c>
      <c r="N138" s="35">
        <v>44336</v>
      </c>
      <c r="O138" s="35">
        <v>44340</v>
      </c>
      <c r="P138" s="35"/>
      <c r="Q138" s="38"/>
      <c r="R138" s="26" t="s">
        <v>722</v>
      </c>
      <c r="S138" s="36" t="s">
        <v>756</v>
      </c>
    </row>
    <row r="139" spans="1:19">
      <c r="A139" s="25">
        <v>137</v>
      </c>
      <c r="B139" s="27" t="s">
        <v>541</v>
      </c>
      <c r="C139" s="25" t="s">
        <v>696</v>
      </c>
      <c r="D139" s="25" t="s">
        <v>414</v>
      </c>
      <c r="E139" s="26" t="s">
        <v>24</v>
      </c>
      <c r="F139" s="26" t="s">
        <v>757</v>
      </c>
      <c r="G139" s="25" t="s">
        <v>422</v>
      </c>
      <c r="H139" s="26">
        <v>1</v>
      </c>
      <c r="I139" s="26">
        <v>250</v>
      </c>
      <c r="J139" s="26"/>
      <c r="K139" s="36"/>
      <c r="L139" s="33">
        <v>4080.1</v>
      </c>
      <c r="M139" s="33">
        <v>2570</v>
      </c>
      <c r="N139" s="35">
        <v>44281</v>
      </c>
      <c r="O139" s="35">
        <v>44382</v>
      </c>
      <c r="P139" s="35"/>
      <c r="Q139" s="26"/>
      <c r="R139" s="26"/>
      <c r="S139" s="36"/>
    </row>
    <row r="140" spans="1:19">
      <c r="A140" s="27">
        <v>138</v>
      </c>
      <c r="B140" s="27" t="s">
        <v>91</v>
      </c>
      <c r="C140" s="25" t="s">
        <v>696</v>
      </c>
      <c r="D140" s="25" t="s">
        <v>414</v>
      </c>
      <c r="E140" s="26" t="s">
        <v>24</v>
      </c>
      <c r="F140" s="26" t="s">
        <v>698</v>
      </c>
      <c r="G140" s="25" t="s">
        <v>415</v>
      </c>
      <c r="H140" s="26">
        <v>2</v>
      </c>
      <c r="I140" s="26">
        <v>160</v>
      </c>
      <c r="J140" s="26"/>
      <c r="K140" s="32"/>
      <c r="L140" s="33">
        <v>2938.63333333333</v>
      </c>
      <c r="M140" s="33">
        <v>5009</v>
      </c>
      <c r="N140" s="35">
        <v>44273</v>
      </c>
      <c r="O140" s="35">
        <v>44340</v>
      </c>
      <c r="P140" s="35">
        <v>44347</v>
      </c>
      <c r="Q140" s="38" t="s">
        <v>418</v>
      </c>
      <c r="R140" s="26"/>
      <c r="S140" s="36"/>
    </row>
    <row r="141" spans="1:19">
      <c r="A141" s="25">
        <v>139</v>
      </c>
      <c r="B141" s="27" t="s">
        <v>92</v>
      </c>
      <c r="C141" s="25" t="s">
        <v>696</v>
      </c>
      <c r="D141" s="25" t="s">
        <v>414</v>
      </c>
      <c r="E141" s="26" t="s">
        <v>24</v>
      </c>
      <c r="F141" s="26" t="s">
        <v>698</v>
      </c>
      <c r="G141" s="25" t="s">
        <v>415</v>
      </c>
      <c r="H141" s="26">
        <v>2</v>
      </c>
      <c r="I141" s="26">
        <v>160</v>
      </c>
      <c r="J141" s="26"/>
      <c r="K141" s="32"/>
      <c r="L141" s="33">
        <v>2526.1</v>
      </c>
      <c r="M141" s="33">
        <v>5115</v>
      </c>
      <c r="N141" s="35">
        <v>44273</v>
      </c>
      <c r="O141" s="35">
        <v>44328</v>
      </c>
      <c r="P141" s="35">
        <v>44376</v>
      </c>
      <c r="Q141" s="26" t="s">
        <v>418</v>
      </c>
      <c r="R141" s="26"/>
      <c r="S141" s="36" t="s">
        <v>758</v>
      </c>
    </row>
    <row r="142" spans="1:19">
      <c r="A142" s="27">
        <v>140</v>
      </c>
      <c r="B142" s="27" t="s">
        <v>93</v>
      </c>
      <c r="C142" s="25" t="s">
        <v>696</v>
      </c>
      <c r="D142" s="25" t="s">
        <v>414</v>
      </c>
      <c r="E142" s="26" t="s">
        <v>24</v>
      </c>
      <c r="F142" s="26" t="s">
        <v>229</v>
      </c>
      <c r="G142" s="25" t="s">
        <v>415</v>
      </c>
      <c r="H142" s="26">
        <v>2</v>
      </c>
      <c r="I142" s="26">
        <v>160</v>
      </c>
      <c r="J142" s="26"/>
      <c r="K142" s="32"/>
      <c r="L142" s="33">
        <v>1951.66666666667</v>
      </c>
      <c r="M142" s="33">
        <v>6034</v>
      </c>
      <c r="N142" s="35">
        <v>44273</v>
      </c>
      <c r="O142" s="35">
        <v>44280</v>
      </c>
      <c r="P142" s="35">
        <v>44309</v>
      </c>
      <c r="Q142" s="38" t="s">
        <v>418</v>
      </c>
      <c r="R142" s="26"/>
      <c r="S142" s="36" t="s">
        <v>759</v>
      </c>
    </row>
    <row r="143" spans="1:19">
      <c r="A143" s="25">
        <v>141</v>
      </c>
      <c r="B143" s="25" t="s">
        <v>543</v>
      </c>
      <c r="C143" s="25" t="s">
        <v>696</v>
      </c>
      <c r="D143" s="25" t="s">
        <v>414</v>
      </c>
      <c r="E143" s="26" t="s">
        <v>24</v>
      </c>
      <c r="F143" s="29" t="s">
        <v>229</v>
      </c>
      <c r="G143" s="25" t="s">
        <v>422</v>
      </c>
      <c r="H143" s="26">
        <v>2</v>
      </c>
      <c r="I143" s="26">
        <v>160</v>
      </c>
      <c r="J143" s="26"/>
      <c r="K143" s="36"/>
      <c r="L143" s="33">
        <v>5541.5</v>
      </c>
      <c r="M143" s="33">
        <v>5218</v>
      </c>
      <c r="N143" s="34">
        <v>44356</v>
      </c>
      <c r="O143" s="35">
        <v>44382</v>
      </c>
      <c r="P143" s="35"/>
      <c r="Q143" s="26"/>
      <c r="R143" s="26"/>
      <c r="S143" s="36"/>
    </row>
    <row r="144" spans="1:19">
      <c r="A144" s="27">
        <v>142</v>
      </c>
      <c r="B144" s="27" t="s">
        <v>94</v>
      </c>
      <c r="C144" s="25" t="s">
        <v>696</v>
      </c>
      <c r="D144" s="25" t="s">
        <v>414</v>
      </c>
      <c r="E144" s="26" t="s">
        <v>24</v>
      </c>
      <c r="F144" s="26" t="s">
        <v>229</v>
      </c>
      <c r="G144" s="25" t="s">
        <v>415</v>
      </c>
      <c r="H144" s="26">
        <v>2</v>
      </c>
      <c r="I144" s="26">
        <v>160</v>
      </c>
      <c r="J144" s="26"/>
      <c r="K144" s="32" t="s">
        <v>760</v>
      </c>
      <c r="L144" s="33">
        <v>14329.8333333333</v>
      </c>
      <c r="M144" s="33">
        <v>17113</v>
      </c>
      <c r="N144" s="35">
        <v>44293</v>
      </c>
      <c r="O144" s="35">
        <v>44340</v>
      </c>
      <c r="P144" s="35">
        <v>44347</v>
      </c>
      <c r="Q144" s="38" t="s">
        <v>418</v>
      </c>
      <c r="R144" s="26"/>
      <c r="S144" s="36" t="s">
        <v>761</v>
      </c>
    </row>
    <row r="145" spans="1:19">
      <c r="A145" s="25">
        <v>143</v>
      </c>
      <c r="B145" s="27" t="s">
        <v>544</v>
      </c>
      <c r="C145" s="25" t="s">
        <v>696</v>
      </c>
      <c r="D145" s="25" t="s">
        <v>414</v>
      </c>
      <c r="E145" s="26" t="s">
        <v>24</v>
      </c>
      <c r="F145" s="26" t="s">
        <v>229</v>
      </c>
      <c r="G145" s="25" t="s">
        <v>411</v>
      </c>
      <c r="H145" s="26">
        <v>2</v>
      </c>
      <c r="I145" s="26">
        <v>160</v>
      </c>
      <c r="J145" s="26"/>
      <c r="K145" s="36" t="s">
        <v>401</v>
      </c>
      <c r="L145" s="33">
        <v>33121.3333333334</v>
      </c>
      <c r="M145" s="33">
        <v>32944</v>
      </c>
      <c r="N145" s="35">
        <v>44293</v>
      </c>
      <c r="O145" s="35"/>
      <c r="P145" s="35"/>
      <c r="Q145" s="26"/>
      <c r="R145" s="26"/>
      <c r="S145" s="36" t="s">
        <v>762</v>
      </c>
    </row>
    <row r="146" spans="1:19">
      <c r="A146" s="27">
        <v>144</v>
      </c>
      <c r="B146" s="27" t="s">
        <v>551</v>
      </c>
      <c r="C146" s="25" t="s">
        <v>696</v>
      </c>
      <c r="D146" s="25" t="s">
        <v>414</v>
      </c>
      <c r="E146" s="26" t="s">
        <v>24</v>
      </c>
      <c r="F146" s="26" t="s">
        <v>732</v>
      </c>
      <c r="G146" s="25" t="s">
        <v>411</v>
      </c>
      <c r="H146" s="26">
        <v>1</v>
      </c>
      <c r="I146" s="26">
        <v>250</v>
      </c>
      <c r="J146" s="26"/>
      <c r="K146" s="36" t="s">
        <v>760</v>
      </c>
      <c r="L146" s="33">
        <v>14081.4</v>
      </c>
      <c r="M146" s="33">
        <v>29698</v>
      </c>
      <c r="N146" s="34">
        <v>44335</v>
      </c>
      <c r="O146" s="35"/>
      <c r="P146" s="35"/>
      <c r="Q146" s="26"/>
      <c r="R146" s="26"/>
      <c r="S146" s="36" t="s">
        <v>763</v>
      </c>
    </row>
    <row r="147" spans="1:19">
      <c r="A147" s="25">
        <v>145</v>
      </c>
      <c r="B147" s="27" t="s">
        <v>95</v>
      </c>
      <c r="C147" s="25" t="s">
        <v>696</v>
      </c>
      <c r="D147" s="25" t="s">
        <v>414</v>
      </c>
      <c r="E147" s="26" t="s">
        <v>41</v>
      </c>
      <c r="F147" s="26" t="s">
        <v>757</v>
      </c>
      <c r="G147" s="25" t="s">
        <v>415</v>
      </c>
      <c r="H147" s="26">
        <v>2</v>
      </c>
      <c r="I147" s="26">
        <v>160</v>
      </c>
      <c r="J147" s="26"/>
      <c r="K147" s="32"/>
      <c r="L147" s="33">
        <v>17565.8</v>
      </c>
      <c r="M147" s="33">
        <v>24491</v>
      </c>
      <c r="N147" s="35">
        <v>44302</v>
      </c>
      <c r="O147" s="35">
        <v>44324</v>
      </c>
      <c r="P147" s="35">
        <v>44337</v>
      </c>
      <c r="Q147" s="38" t="s">
        <v>418</v>
      </c>
      <c r="R147" s="26"/>
      <c r="S147" s="36"/>
    </row>
    <row r="148" spans="1:19">
      <c r="A148" s="27">
        <v>146</v>
      </c>
      <c r="B148" s="26" t="s">
        <v>96</v>
      </c>
      <c r="C148" s="25" t="s">
        <v>696</v>
      </c>
      <c r="D148" s="25" t="s">
        <v>414</v>
      </c>
      <c r="E148" s="26" t="s">
        <v>41</v>
      </c>
      <c r="F148" s="26"/>
      <c r="G148" s="25" t="s">
        <v>415</v>
      </c>
      <c r="H148" s="26">
        <v>2</v>
      </c>
      <c r="I148" s="26">
        <v>160</v>
      </c>
      <c r="J148" s="26"/>
      <c r="K148" s="32"/>
      <c r="L148" s="33">
        <v>38269.2</v>
      </c>
      <c r="M148" s="33">
        <v>27832</v>
      </c>
      <c r="N148" s="35">
        <v>44302</v>
      </c>
      <c r="O148" s="35">
        <v>44300</v>
      </c>
      <c r="P148" s="35">
        <v>44317</v>
      </c>
      <c r="Q148" s="38" t="s">
        <v>418</v>
      </c>
      <c r="R148" s="26"/>
      <c r="S148" s="36" t="s">
        <v>764</v>
      </c>
    </row>
    <row r="149" spans="1:19">
      <c r="A149" s="25">
        <v>147</v>
      </c>
      <c r="B149" s="26" t="s">
        <v>420</v>
      </c>
      <c r="C149" s="25" t="s">
        <v>696</v>
      </c>
      <c r="D149" s="25" t="s">
        <v>414</v>
      </c>
      <c r="E149" s="26" t="s">
        <v>39</v>
      </c>
      <c r="F149" s="26" t="s">
        <v>765</v>
      </c>
      <c r="G149" s="25" t="s">
        <v>411</v>
      </c>
      <c r="H149" s="26">
        <v>1</v>
      </c>
      <c r="I149" s="26">
        <v>250</v>
      </c>
      <c r="J149" s="26"/>
      <c r="K149" s="32"/>
      <c r="L149" s="33">
        <v>0</v>
      </c>
      <c r="M149" s="33">
        <v>1300</v>
      </c>
      <c r="N149" s="35">
        <v>44293</v>
      </c>
      <c r="O149" s="35"/>
      <c r="P149" s="35"/>
      <c r="Q149" s="26"/>
      <c r="R149" s="26"/>
      <c r="S149" s="36"/>
    </row>
    <row r="150" spans="1:19">
      <c r="A150" s="27">
        <v>148</v>
      </c>
      <c r="B150" s="26" t="s">
        <v>421</v>
      </c>
      <c r="C150" s="25" t="s">
        <v>696</v>
      </c>
      <c r="D150" s="25" t="s">
        <v>414</v>
      </c>
      <c r="E150" s="26" t="s">
        <v>39</v>
      </c>
      <c r="F150" s="26" t="s">
        <v>732</v>
      </c>
      <c r="G150" s="25" t="s">
        <v>422</v>
      </c>
      <c r="H150" s="26">
        <v>1</v>
      </c>
      <c r="I150" s="26">
        <v>250</v>
      </c>
      <c r="J150" s="26"/>
      <c r="K150" s="32"/>
      <c r="L150" s="33">
        <v>593.133333333333</v>
      </c>
      <c r="M150" s="33">
        <v>869</v>
      </c>
      <c r="N150" s="35">
        <v>44281</v>
      </c>
      <c r="O150" s="35">
        <v>44293</v>
      </c>
      <c r="P150" s="35"/>
      <c r="Q150" s="38" t="s">
        <v>735</v>
      </c>
      <c r="R150" s="26"/>
      <c r="S150" s="36" t="s">
        <v>766</v>
      </c>
    </row>
    <row r="151" spans="1:19">
      <c r="A151" s="25">
        <v>149</v>
      </c>
      <c r="B151" s="26" t="s">
        <v>423</v>
      </c>
      <c r="C151" s="25" t="s">
        <v>696</v>
      </c>
      <c r="D151" s="25" t="s">
        <v>414</v>
      </c>
      <c r="E151" s="26" t="s">
        <v>39</v>
      </c>
      <c r="F151" s="26" t="s">
        <v>732</v>
      </c>
      <c r="G151" s="25" t="s">
        <v>411</v>
      </c>
      <c r="H151" s="26">
        <v>1</v>
      </c>
      <c r="I151" s="26">
        <v>600</v>
      </c>
      <c r="J151" s="26"/>
      <c r="K151" s="32"/>
      <c r="L151" s="33">
        <v>2761</v>
      </c>
      <c r="M151" s="33">
        <v>2818</v>
      </c>
      <c r="N151" s="35">
        <v>44281</v>
      </c>
      <c r="O151" s="35"/>
      <c r="P151" s="35"/>
      <c r="Q151" s="26"/>
      <c r="R151" s="26"/>
      <c r="S151" s="36"/>
    </row>
    <row r="152" spans="1:19">
      <c r="A152" s="27">
        <v>150</v>
      </c>
      <c r="B152" s="26" t="s">
        <v>424</v>
      </c>
      <c r="C152" s="25" t="s">
        <v>696</v>
      </c>
      <c r="D152" s="25" t="s">
        <v>414</v>
      </c>
      <c r="E152" s="26" t="s">
        <v>39</v>
      </c>
      <c r="F152" s="26" t="s">
        <v>229</v>
      </c>
      <c r="G152" s="25" t="s">
        <v>422</v>
      </c>
      <c r="H152" s="26">
        <v>2</v>
      </c>
      <c r="I152" s="26">
        <v>160</v>
      </c>
      <c r="J152" s="26"/>
      <c r="K152" s="32"/>
      <c r="L152" s="33">
        <v>5026</v>
      </c>
      <c r="M152" s="33">
        <v>3263</v>
      </c>
      <c r="N152" s="35">
        <v>44278</v>
      </c>
      <c r="O152" s="35">
        <v>44293</v>
      </c>
      <c r="P152" s="35"/>
      <c r="Q152" s="26"/>
      <c r="R152" s="26"/>
      <c r="S152" s="36" t="s">
        <v>767</v>
      </c>
    </row>
    <row r="153" spans="1:19">
      <c r="A153" s="25">
        <v>151</v>
      </c>
      <c r="B153" s="26" t="s">
        <v>425</v>
      </c>
      <c r="C153" s="25" t="s">
        <v>696</v>
      </c>
      <c r="D153" s="25" t="s">
        <v>414</v>
      </c>
      <c r="E153" s="26" t="s">
        <v>39</v>
      </c>
      <c r="F153" s="26" t="s">
        <v>229</v>
      </c>
      <c r="G153" s="25" t="s">
        <v>411</v>
      </c>
      <c r="H153" s="26">
        <v>2</v>
      </c>
      <c r="I153" s="26">
        <v>160</v>
      </c>
      <c r="J153" s="26"/>
      <c r="K153" s="32"/>
      <c r="L153" s="33">
        <v>11850.6</v>
      </c>
      <c r="M153" s="33">
        <v>11893</v>
      </c>
      <c r="N153" s="35">
        <v>44278</v>
      </c>
      <c r="O153" s="35"/>
      <c r="P153" s="35"/>
      <c r="Q153" s="26"/>
      <c r="R153" s="26"/>
      <c r="S153" s="36" t="s">
        <v>768</v>
      </c>
    </row>
    <row r="154" spans="1:19">
      <c r="A154" s="27">
        <v>152</v>
      </c>
      <c r="B154" s="26" t="s">
        <v>426</v>
      </c>
      <c r="C154" s="25" t="s">
        <v>696</v>
      </c>
      <c r="D154" s="25" t="s">
        <v>414</v>
      </c>
      <c r="E154" s="26" t="s">
        <v>39</v>
      </c>
      <c r="F154" s="26" t="s">
        <v>229</v>
      </c>
      <c r="G154" s="25" t="s">
        <v>411</v>
      </c>
      <c r="H154" s="26">
        <v>2</v>
      </c>
      <c r="I154" s="26">
        <v>160</v>
      </c>
      <c r="J154" s="26"/>
      <c r="K154" s="32"/>
      <c r="L154" s="33">
        <v>5472.73333333334</v>
      </c>
      <c r="M154" s="33">
        <v>9145</v>
      </c>
      <c r="N154" s="35">
        <v>44278</v>
      </c>
      <c r="O154" s="35"/>
      <c r="P154" s="35"/>
      <c r="Q154" s="26" t="s">
        <v>735</v>
      </c>
      <c r="R154" s="26"/>
      <c r="S154" s="36" t="s">
        <v>769</v>
      </c>
    </row>
    <row r="155" spans="1:19">
      <c r="A155" s="25">
        <v>153</v>
      </c>
      <c r="B155" s="26" t="s">
        <v>770</v>
      </c>
      <c r="C155" s="25" t="s">
        <v>696</v>
      </c>
      <c r="D155" s="25" t="s">
        <v>414</v>
      </c>
      <c r="E155" s="26" t="s">
        <v>39</v>
      </c>
      <c r="F155" s="26" t="s">
        <v>229</v>
      </c>
      <c r="G155" s="25" t="s">
        <v>491</v>
      </c>
      <c r="H155" s="26">
        <v>2</v>
      </c>
      <c r="I155" s="26">
        <v>160</v>
      </c>
      <c r="J155" s="26"/>
      <c r="K155" s="32"/>
      <c r="L155" s="33">
        <v>16535.1666666667</v>
      </c>
      <c r="M155" s="33">
        <v>14081</v>
      </c>
      <c r="N155" s="35">
        <v>44278</v>
      </c>
      <c r="O155" s="35">
        <v>44295</v>
      </c>
      <c r="P155" s="35">
        <v>44314</v>
      </c>
      <c r="Q155" s="26" t="s">
        <v>735</v>
      </c>
      <c r="R155" s="26" t="s">
        <v>722</v>
      </c>
      <c r="S155" s="36" t="s">
        <v>771</v>
      </c>
    </row>
    <row r="156" spans="1:19">
      <c r="A156" s="27">
        <v>154</v>
      </c>
      <c r="B156" s="26" t="s">
        <v>427</v>
      </c>
      <c r="C156" s="25" t="s">
        <v>696</v>
      </c>
      <c r="D156" s="25" t="s">
        <v>414</v>
      </c>
      <c r="E156" s="26" t="s">
        <v>39</v>
      </c>
      <c r="F156" s="26" t="s">
        <v>229</v>
      </c>
      <c r="G156" s="25" t="s">
        <v>411</v>
      </c>
      <c r="H156" s="26">
        <v>1</v>
      </c>
      <c r="I156" s="26">
        <v>160</v>
      </c>
      <c r="J156" s="26"/>
      <c r="K156" s="32"/>
      <c r="L156" s="33">
        <v>7471.33333333333</v>
      </c>
      <c r="M156" s="33">
        <v>12500</v>
      </c>
      <c r="N156" s="35">
        <v>44278</v>
      </c>
      <c r="O156" s="35"/>
      <c r="P156" s="35"/>
      <c r="Q156" s="26"/>
      <c r="R156" s="26"/>
      <c r="S156" s="36" t="s">
        <v>767</v>
      </c>
    </row>
    <row r="157" spans="1:19">
      <c r="A157" s="25">
        <v>155</v>
      </c>
      <c r="B157" s="26" t="s">
        <v>772</v>
      </c>
      <c r="C157" s="25" t="s">
        <v>696</v>
      </c>
      <c r="D157" s="25" t="s">
        <v>414</v>
      </c>
      <c r="E157" s="26" t="s">
        <v>39</v>
      </c>
      <c r="F157" s="26" t="s">
        <v>765</v>
      </c>
      <c r="G157" s="25" t="s">
        <v>491</v>
      </c>
      <c r="H157" s="26">
        <v>1</v>
      </c>
      <c r="I157" s="26">
        <v>250</v>
      </c>
      <c r="J157" s="26"/>
      <c r="K157" s="32"/>
      <c r="L157" s="33">
        <v>0</v>
      </c>
      <c r="M157" s="33">
        <v>2429</v>
      </c>
      <c r="N157" s="35">
        <v>44278</v>
      </c>
      <c r="O157" s="35"/>
      <c r="P157" s="35"/>
      <c r="Q157" s="26"/>
      <c r="R157" s="26" t="s">
        <v>722</v>
      </c>
      <c r="S157" s="36" t="s">
        <v>773</v>
      </c>
    </row>
    <row r="158" spans="1:19">
      <c r="A158" s="27">
        <v>156</v>
      </c>
      <c r="B158" s="26" t="s">
        <v>774</v>
      </c>
      <c r="C158" s="25" t="s">
        <v>696</v>
      </c>
      <c r="D158" s="25" t="s">
        <v>414</v>
      </c>
      <c r="E158" s="26" t="s">
        <v>39</v>
      </c>
      <c r="F158" s="26" t="s">
        <v>775</v>
      </c>
      <c r="G158" s="25" t="s">
        <v>491</v>
      </c>
      <c r="H158" s="26">
        <v>1</v>
      </c>
      <c r="I158" s="26">
        <v>250</v>
      </c>
      <c r="J158" s="26"/>
      <c r="K158" s="32"/>
      <c r="L158" s="33">
        <v>0</v>
      </c>
      <c r="M158" s="33">
        <v>2682</v>
      </c>
      <c r="N158" s="35">
        <v>44278</v>
      </c>
      <c r="O158" s="35"/>
      <c r="P158" s="35"/>
      <c r="Q158" s="26"/>
      <c r="R158" s="26" t="s">
        <v>722</v>
      </c>
      <c r="S158" s="36" t="s">
        <v>773</v>
      </c>
    </row>
    <row r="159" spans="1:19">
      <c r="A159" s="25">
        <v>157</v>
      </c>
      <c r="B159" s="26" t="s">
        <v>428</v>
      </c>
      <c r="C159" s="25" t="s">
        <v>696</v>
      </c>
      <c r="D159" s="25" t="s">
        <v>414</v>
      </c>
      <c r="E159" s="26" t="s">
        <v>39</v>
      </c>
      <c r="F159" s="26" t="s">
        <v>765</v>
      </c>
      <c r="G159" s="25" t="s">
        <v>411</v>
      </c>
      <c r="H159" s="26">
        <v>1</v>
      </c>
      <c r="I159" s="26">
        <v>600</v>
      </c>
      <c r="J159" s="26"/>
      <c r="K159" s="32"/>
      <c r="L159" s="33">
        <v>0</v>
      </c>
      <c r="M159" s="33">
        <v>7</v>
      </c>
      <c r="N159" s="35">
        <v>44280</v>
      </c>
      <c r="O159" s="35"/>
      <c r="P159" s="35"/>
      <c r="Q159" s="26"/>
      <c r="R159" s="26"/>
      <c r="S159" s="36"/>
    </row>
    <row r="160" spans="1:19">
      <c r="A160" s="27">
        <v>158</v>
      </c>
      <c r="B160" s="26" t="s">
        <v>429</v>
      </c>
      <c r="C160" s="25" t="s">
        <v>696</v>
      </c>
      <c r="D160" s="25" t="s">
        <v>414</v>
      </c>
      <c r="E160" s="26" t="s">
        <v>39</v>
      </c>
      <c r="F160" s="26" t="s">
        <v>775</v>
      </c>
      <c r="G160" s="25" t="s">
        <v>411</v>
      </c>
      <c r="H160" s="26">
        <v>1</v>
      </c>
      <c r="I160" s="26">
        <v>600</v>
      </c>
      <c r="J160" s="26"/>
      <c r="K160" s="32"/>
      <c r="L160" s="33">
        <v>0</v>
      </c>
      <c r="M160" s="33">
        <v>7</v>
      </c>
      <c r="N160" s="35">
        <v>44280</v>
      </c>
      <c r="O160" s="35"/>
      <c r="P160" s="35"/>
      <c r="Q160" s="26"/>
      <c r="R160" s="26"/>
      <c r="S160" s="36"/>
    </row>
    <row r="161" spans="1:19">
      <c r="A161" s="25">
        <v>159</v>
      </c>
      <c r="B161" s="26" t="s">
        <v>430</v>
      </c>
      <c r="C161" s="25" t="s">
        <v>696</v>
      </c>
      <c r="D161" s="25" t="s">
        <v>414</v>
      </c>
      <c r="E161" s="26" t="s">
        <v>39</v>
      </c>
      <c r="F161" s="26" t="s">
        <v>775</v>
      </c>
      <c r="G161" s="25" t="s">
        <v>411</v>
      </c>
      <c r="H161" s="26">
        <v>2</v>
      </c>
      <c r="I161" s="26">
        <v>160</v>
      </c>
      <c r="J161" s="26"/>
      <c r="K161" s="32"/>
      <c r="L161" s="33">
        <v>0</v>
      </c>
      <c r="M161" s="33">
        <v>1284</v>
      </c>
      <c r="N161" s="35">
        <v>44310</v>
      </c>
      <c r="O161" s="35"/>
      <c r="P161" s="35"/>
      <c r="Q161" s="26"/>
      <c r="R161" s="26"/>
      <c r="S161" s="36" t="s">
        <v>776</v>
      </c>
    </row>
    <row r="162" spans="1:19">
      <c r="A162" s="27">
        <v>160</v>
      </c>
      <c r="B162" s="26" t="s">
        <v>431</v>
      </c>
      <c r="C162" s="25" t="s">
        <v>696</v>
      </c>
      <c r="D162" s="25" t="s">
        <v>414</v>
      </c>
      <c r="E162" s="26" t="s">
        <v>39</v>
      </c>
      <c r="F162" s="26" t="s">
        <v>698</v>
      </c>
      <c r="G162" s="25" t="s">
        <v>422</v>
      </c>
      <c r="H162" s="26">
        <v>2</v>
      </c>
      <c r="I162" s="26">
        <v>160</v>
      </c>
      <c r="J162" s="26"/>
      <c r="K162" s="32"/>
      <c r="L162" s="33">
        <v>11317.1333333333</v>
      </c>
      <c r="M162" s="33">
        <v>12500</v>
      </c>
      <c r="N162" s="35">
        <v>44278</v>
      </c>
      <c r="O162" s="35">
        <v>44383</v>
      </c>
      <c r="P162" s="35"/>
      <c r="Q162" s="26"/>
      <c r="R162" s="26"/>
      <c r="S162" s="36"/>
    </row>
    <row r="163" spans="1:19">
      <c r="A163" s="25">
        <v>161</v>
      </c>
      <c r="B163" s="26" t="s">
        <v>432</v>
      </c>
      <c r="C163" s="25" t="s">
        <v>696</v>
      </c>
      <c r="D163" s="25" t="s">
        <v>414</v>
      </c>
      <c r="E163" s="26" t="s">
        <v>39</v>
      </c>
      <c r="F163" s="26" t="s">
        <v>732</v>
      </c>
      <c r="G163" s="25" t="s">
        <v>422</v>
      </c>
      <c r="H163" s="26">
        <v>1</v>
      </c>
      <c r="I163" s="26">
        <v>600</v>
      </c>
      <c r="J163" s="26"/>
      <c r="K163" s="32"/>
      <c r="L163" s="33">
        <v>2297.6</v>
      </c>
      <c r="M163" s="33">
        <v>3098</v>
      </c>
      <c r="N163" s="35">
        <v>44280</v>
      </c>
      <c r="O163" s="35">
        <v>44197</v>
      </c>
      <c r="P163" s="35"/>
      <c r="Q163" s="26"/>
      <c r="R163" s="26"/>
      <c r="S163" s="36" t="s">
        <v>777</v>
      </c>
    </row>
    <row r="164" spans="1:19">
      <c r="A164" s="27">
        <v>162</v>
      </c>
      <c r="B164" s="26" t="s">
        <v>433</v>
      </c>
      <c r="C164" s="25" t="s">
        <v>696</v>
      </c>
      <c r="D164" s="25" t="s">
        <v>414</v>
      </c>
      <c r="E164" s="26" t="s">
        <v>39</v>
      </c>
      <c r="F164" s="26" t="s">
        <v>778</v>
      </c>
      <c r="G164" s="25" t="s">
        <v>411</v>
      </c>
      <c r="H164" s="26">
        <v>1</v>
      </c>
      <c r="I164" s="26">
        <v>600</v>
      </c>
      <c r="J164" s="26"/>
      <c r="K164" s="32"/>
      <c r="L164" s="33">
        <v>287.333333333333</v>
      </c>
      <c r="M164" s="33">
        <v>1168</v>
      </c>
      <c r="N164" s="35">
        <v>44281</v>
      </c>
      <c r="O164" s="35"/>
      <c r="P164" s="35"/>
      <c r="Q164" s="26"/>
      <c r="R164" s="26"/>
      <c r="S164" s="36"/>
    </row>
    <row r="165" spans="1:19">
      <c r="A165" s="25">
        <v>163</v>
      </c>
      <c r="B165" s="26" t="s">
        <v>434</v>
      </c>
      <c r="C165" s="25" t="s">
        <v>696</v>
      </c>
      <c r="D165" s="25" t="s">
        <v>414</v>
      </c>
      <c r="E165" s="26" t="s">
        <v>39</v>
      </c>
      <c r="F165" s="26" t="s">
        <v>732</v>
      </c>
      <c r="G165" s="25" t="s">
        <v>411</v>
      </c>
      <c r="H165" s="26">
        <v>1</v>
      </c>
      <c r="I165" s="26">
        <v>600</v>
      </c>
      <c r="J165" s="26"/>
      <c r="K165" s="32"/>
      <c r="L165" s="33">
        <v>3079.16666666666</v>
      </c>
      <c r="M165" s="33">
        <v>6109</v>
      </c>
      <c r="N165" s="35">
        <v>44280</v>
      </c>
      <c r="O165" s="35"/>
      <c r="P165" s="35"/>
      <c r="Q165" s="26"/>
      <c r="R165" s="26"/>
      <c r="S165" s="36" t="s">
        <v>779</v>
      </c>
    </row>
    <row r="166" spans="1:19">
      <c r="A166" s="27">
        <v>164</v>
      </c>
      <c r="B166" s="26" t="s">
        <v>435</v>
      </c>
      <c r="C166" s="25" t="s">
        <v>696</v>
      </c>
      <c r="D166" s="25" t="s">
        <v>414</v>
      </c>
      <c r="E166" s="26" t="s">
        <v>39</v>
      </c>
      <c r="F166" s="26" t="s">
        <v>732</v>
      </c>
      <c r="G166" s="25" t="s">
        <v>411</v>
      </c>
      <c r="H166" s="26">
        <v>1</v>
      </c>
      <c r="I166" s="26">
        <v>600</v>
      </c>
      <c r="J166" s="26"/>
      <c r="K166" s="32"/>
      <c r="L166" s="33">
        <v>5270.4</v>
      </c>
      <c r="M166" s="33">
        <v>16610</v>
      </c>
      <c r="N166" s="35">
        <v>44281</v>
      </c>
      <c r="O166" s="35"/>
      <c r="P166" s="35"/>
      <c r="Q166" s="26"/>
      <c r="R166" s="26"/>
      <c r="S166" s="36" t="s">
        <v>780</v>
      </c>
    </row>
    <row r="167" spans="1:19">
      <c r="A167" s="25">
        <v>165</v>
      </c>
      <c r="B167" s="26" t="s">
        <v>436</v>
      </c>
      <c r="C167" s="25" t="s">
        <v>696</v>
      </c>
      <c r="D167" s="25" t="s">
        <v>414</v>
      </c>
      <c r="E167" s="26" t="s">
        <v>39</v>
      </c>
      <c r="F167" s="26" t="s">
        <v>778</v>
      </c>
      <c r="G167" s="25" t="s">
        <v>411</v>
      </c>
      <c r="H167" s="26">
        <v>1</v>
      </c>
      <c r="I167" s="26">
        <v>600</v>
      </c>
      <c r="J167" s="26"/>
      <c r="K167" s="32"/>
      <c r="L167" s="33">
        <v>838.666666666667</v>
      </c>
      <c r="M167" s="33">
        <v>2121</v>
      </c>
      <c r="N167" s="35">
        <v>44281</v>
      </c>
      <c r="O167" s="35"/>
      <c r="P167" s="35"/>
      <c r="Q167" s="26"/>
      <c r="R167" s="26"/>
      <c r="S167" s="36" t="s">
        <v>781</v>
      </c>
    </row>
    <row r="168" spans="1:19">
      <c r="A168" s="27">
        <v>166</v>
      </c>
      <c r="B168" s="26" t="s">
        <v>437</v>
      </c>
      <c r="C168" s="25" t="s">
        <v>696</v>
      </c>
      <c r="D168" s="25" t="s">
        <v>414</v>
      </c>
      <c r="E168" s="26" t="s">
        <v>39</v>
      </c>
      <c r="F168" s="26" t="s">
        <v>732</v>
      </c>
      <c r="G168" s="25" t="s">
        <v>411</v>
      </c>
      <c r="H168" s="26">
        <v>1</v>
      </c>
      <c r="I168" s="26">
        <v>600</v>
      </c>
      <c r="J168" s="26"/>
      <c r="K168" s="32"/>
      <c r="L168" s="33">
        <v>181.833333333333</v>
      </c>
      <c r="M168" s="33">
        <v>177</v>
      </c>
      <c r="N168" s="35">
        <v>44280</v>
      </c>
      <c r="O168" s="35"/>
      <c r="P168" s="35"/>
      <c r="Q168" s="26"/>
      <c r="R168" s="26"/>
      <c r="S168" s="36" t="s">
        <v>782</v>
      </c>
    </row>
    <row r="169" spans="1:19">
      <c r="A169" s="25">
        <v>167</v>
      </c>
      <c r="B169" s="27" t="s">
        <v>97</v>
      </c>
      <c r="C169" s="25" t="s">
        <v>696</v>
      </c>
      <c r="D169" s="25" t="s">
        <v>414</v>
      </c>
      <c r="E169" s="28" t="s">
        <v>39</v>
      </c>
      <c r="F169" s="26" t="s">
        <v>732</v>
      </c>
      <c r="G169" s="25" t="s">
        <v>415</v>
      </c>
      <c r="H169" s="26">
        <v>1</v>
      </c>
      <c r="I169" s="26">
        <v>600</v>
      </c>
      <c r="J169" s="26"/>
      <c r="K169" s="32"/>
      <c r="L169" s="33">
        <v>740.333333333334</v>
      </c>
      <c r="M169" s="33">
        <v>1057</v>
      </c>
      <c r="N169" s="35">
        <v>44280</v>
      </c>
      <c r="O169" s="35">
        <v>44197</v>
      </c>
      <c r="P169" s="35">
        <v>44337</v>
      </c>
      <c r="Q169" s="38" t="s">
        <v>418</v>
      </c>
      <c r="R169" s="26"/>
      <c r="S169" s="36"/>
    </row>
    <row r="170" spans="1:19">
      <c r="A170" s="27">
        <v>168</v>
      </c>
      <c r="B170" s="27" t="s">
        <v>98</v>
      </c>
      <c r="C170" s="25" t="s">
        <v>696</v>
      </c>
      <c r="D170" s="25" t="s">
        <v>414</v>
      </c>
      <c r="E170" s="26" t="s">
        <v>39</v>
      </c>
      <c r="F170" s="26" t="s">
        <v>783</v>
      </c>
      <c r="G170" s="25" t="s">
        <v>415</v>
      </c>
      <c r="H170" s="26">
        <v>1</v>
      </c>
      <c r="I170" s="26">
        <v>250</v>
      </c>
      <c r="J170" s="26"/>
      <c r="K170" s="32"/>
      <c r="L170" s="33">
        <v>23207.6666666667</v>
      </c>
      <c r="M170" s="33">
        <v>15526</v>
      </c>
      <c r="N170" s="35">
        <v>44280</v>
      </c>
      <c r="O170" s="35">
        <v>44280</v>
      </c>
      <c r="P170" s="35">
        <v>44282</v>
      </c>
      <c r="Q170" s="38" t="s">
        <v>418</v>
      </c>
      <c r="R170" s="26"/>
      <c r="S170" s="36" t="s">
        <v>784</v>
      </c>
    </row>
    <row r="171" spans="1:19">
      <c r="A171" s="25">
        <v>169</v>
      </c>
      <c r="B171" s="26" t="s">
        <v>438</v>
      </c>
      <c r="C171" s="25" t="s">
        <v>696</v>
      </c>
      <c r="D171" s="25" t="s">
        <v>414</v>
      </c>
      <c r="E171" s="26" t="s">
        <v>39</v>
      </c>
      <c r="F171" s="26" t="s">
        <v>732</v>
      </c>
      <c r="G171" s="25" t="s">
        <v>411</v>
      </c>
      <c r="H171" s="26">
        <v>1</v>
      </c>
      <c r="I171" s="26">
        <v>250</v>
      </c>
      <c r="J171" s="26"/>
      <c r="K171" s="32"/>
      <c r="L171" s="33">
        <v>5862.2</v>
      </c>
      <c r="M171" s="33">
        <v>14004</v>
      </c>
      <c r="N171" s="35">
        <v>44281</v>
      </c>
      <c r="O171" s="35"/>
      <c r="P171" s="35"/>
      <c r="Q171" s="26"/>
      <c r="R171" s="26"/>
      <c r="S171" s="36" t="s">
        <v>785</v>
      </c>
    </row>
    <row r="172" spans="1:19">
      <c r="A172" s="27">
        <v>170</v>
      </c>
      <c r="B172" s="26" t="s">
        <v>439</v>
      </c>
      <c r="C172" s="25" t="s">
        <v>696</v>
      </c>
      <c r="D172" s="25" t="s">
        <v>414</v>
      </c>
      <c r="E172" s="26" t="s">
        <v>39</v>
      </c>
      <c r="F172" s="26" t="s">
        <v>732</v>
      </c>
      <c r="G172" s="25" t="s">
        <v>411</v>
      </c>
      <c r="H172" s="26">
        <v>1</v>
      </c>
      <c r="I172" s="26">
        <v>600</v>
      </c>
      <c r="J172" s="26"/>
      <c r="K172" s="32"/>
      <c r="L172" s="33">
        <v>1134.93333333333</v>
      </c>
      <c r="M172" s="33">
        <v>1408</v>
      </c>
      <c r="N172" s="35">
        <v>44281</v>
      </c>
      <c r="O172" s="35"/>
      <c r="P172" s="35"/>
      <c r="Q172" s="26"/>
      <c r="R172" s="26"/>
      <c r="S172" s="36" t="s">
        <v>781</v>
      </c>
    </row>
    <row r="173" spans="1:19">
      <c r="A173" s="25">
        <v>171</v>
      </c>
      <c r="B173" s="26" t="s">
        <v>440</v>
      </c>
      <c r="C173" s="25" t="s">
        <v>696</v>
      </c>
      <c r="D173" s="25" t="s">
        <v>414</v>
      </c>
      <c r="E173" s="26" t="s">
        <v>39</v>
      </c>
      <c r="F173" s="26" t="s">
        <v>732</v>
      </c>
      <c r="G173" s="25" t="s">
        <v>411</v>
      </c>
      <c r="H173" s="26">
        <v>1</v>
      </c>
      <c r="I173" s="26">
        <v>600</v>
      </c>
      <c r="J173" s="26"/>
      <c r="K173" s="32"/>
      <c r="L173" s="33">
        <v>196.933333333333</v>
      </c>
      <c r="M173" s="33">
        <v>183</v>
      </c>
      <c r="N173" s="35">
        <v>44280</v>
      </c>
      <c r="O173" s="35"/>
      <c r="P173" s="35"/>
      <c r="Q173" s="26"/>
      <c r="R173" s="26"/>
      <c r="S173" s="36"/>
    </row>
    <row r="174" spans="1:19">
      <c r="A174" s="27">
        <v>172</v>
      </c>
      <c r="B174" s="29" t="s">
        <v>99</v>
      </c>
      <c r="C174" s="25" t="s">
        <v>696</v>
      </c>
      <c r="D174" s="25" t="s">
        <v>414</v>
      </c>
      <c r="E174" s="26" t="s">
        <v>22</v>
      </c>
      <c r="F174" s="26" t="s">
        <v>229</v>
      </c>
      <c r="G174" s="25" t="s">
        <v>415</v>
      </c>
      <c r="H174" s="26">
        <v>2</v>
      </c>
      <c r="I174" s="26">
        <v>160</v>
      </c>
      <c r="J174" s="26"/>
      <c r="K174" s="36" t="s">
        <v>693</v>
      </c>
      <c r="L174" s="33">
        <v>33831.2333333334</v>
      </c>
      <c r="M174" s="33">
        <v>41122</v>
      </c>
      <c r="N174" s="34">
        <v>44293</v>
      </c>
      <c r="O174" s="35">
        <v>44334</v>
      </c>
      <c r="P174" s="35">
        <v>44337</v>
      </c>
      <c r="Q174" s="38" t="s">
        <v>418</v>
      </c>
      <c r="R174" s="26"/>
      <c r="S174" s="36"/>
    </row>
    <row r="175" spans="1:19">
      <c r="A175" s="25">
        <v>173</v>
      </c>
      <c r="B175" s="26" t="s">
        <v>101</v>
      </c>
      <c r="C175" s="25" t="s">
        <v>696</v>
      </c>
      <c r="D175" s="25" t="s">
        <v>441</v>
      </c>
      <c r="E175" s="26" t="s">
        <v>19</v>
      </c>
      <c r="F175" s="26" t="s">
        <v>229</v>
      </c>
      <c r="G175" s="25" t="s">
        <v>415</v>
      </c>
      <c r="H175" s="26">
        <v>1</v>
      </c>
      <c r="I175" s="26">
        <v>160</v>
      </c>
      <c r="J175" s="26"/>
      <c r="K175" s="36" t="s">
        <v>786</v>
      </c>
      <c r="L175" s="33">
        <v>8866.13333333334</v>
      </c>
      <c r="M175" s="33">
        <v>3000</v>
      </c>
      <c r="N175" s="35">
        <v>44261</v>
      </c>
      <c r="O175" s="35">
        <v>44354</v>
      </c>
      <c r="P175" s="35">
        <v>44364</v>
      </c>
      <c r="Q175" s="26" t="s">
        <v>418</v>
      </c>
      <c r="R175" s="26"/>
      <c r="S175" s="36"/>
    </row>
    <row r="176" spans="1:19">
      <c r="A176" s="27">
        <v>174</v>
      </c>
      <c r="B176" s="26" t="s">
        <v>162</v>
      </c>
      <c r="C176" s="25" t="s">
        <v>696</v>
      </c>
      <c r="D176" s="25" t="s">
        <v>441</v>
      </c>
      <c r="E176" s="26" t="s">
        <v>19</v>
      </c>
      <c r="F176" s="26" t="s">
        <v>229</v>
      </c>
      <c r="G176" s="25" t="s">
        <v>415</v>
      </c>
      <c r="H176" s="26">
        <v>2</v>
      </c>
      <c r="I176" s="26">
        <v>160</v>
      </c>
      <c r="J176" s="26"/>
      <c r="K176" s="32"/>
      <c r="L176" s="33">
        <v>1782.76666666667</v>
      </c>
      <c r="M176" s="33">
        <v>2000</v>
      </c>
      <c r="N176" s="35">
        <v>44261</v>
      </c>
      <c r="O176" s="35">
        <v>44268</v>
      </c>
      <c r="P176" s="35">
        <v>44336</v>
      </c>
      <c r="Q176" s="38" t="s">
        <v>418</v>
      </c>
      <c r="R176" s="26"/>
      <c r="S176" s="36"/>
    </row>
    <row r="177" spans="1:19">
      <c r="A177" s="25">
        <v>175</v>
      </c>
      <c r="B177" s="25" t="s">
        <v>102</v>
      </c>
      <c r="C177" s="25" t="s">
        <v>696</v>
      </c>
      <c r="D177" s="25" t="s">
        <v>410</v>
      </c>
      <c r="E177" s="26" t="s">
        <v>19</v>
      </c>
      <c r="F177" s="26" t="s">
        <v>229</v>
      </c>
      <c r="G177" s="25" t="s">
        <v>415</v>
      </c>
      <c r="H177" s="26">
        <v>2</v>
      </c>
      <c r="I177" s="26">
        <v>250</v>
      </c>
      <c r="J177" s="26"/>
      <c r="K177" s="36" t="s">
        <v>401</v>
      </c>
      <c r="L177" s="33">
        <v>0</v>
      </c>
      <c r="M177" s="33">
        <v>26577</v>
      </c>
      <c r="N177" s="34">
        <v>44273</v>
      </c>
      <c r="O177" s="35">
        <v>44273</v>
      </c>
      <c r="P177" s="35">
        <v>44358</v>
      </c>
      <c r="Q177" s="26" t="s">
        <v>418</v>
      </c>
      <c r="R177" s="26"/>
      <c r="S177" s="36"/>
    </row>
    <row r="178" spans="1:19">
      <c r="A178" s="27">
        <v>176</v>
      </c>
      <c r="B178" s="27" t="s">
        <v>635</v>
      </c>
      <c r="C178" s="25" t="s">
        <v>696</v>
      </c>
      <c r="D178" s="25" t="s">
        <v>441</v>
      </c>
      <c r="E178" s="26" t="s">
        <v>19</v>
      </c>
      <c r="F178" s="26" t="s">
        <v>229</v>
      </c>
      <c r="G178" s="25" t="s">
        <v>415</v>
      </c>
      <c r="H178" s="26">
        <v>1</v>
      </c>
      <c r="I178" s="26">
        <v>160</v>
      </c>
      <c r="J178" s="26"/>
      <c r="K178" s="32"/>
      <c r="L178" s="33">
        <v>486.666666666667</v>
      </c>
      <c r="M178" s="33">
        <v>833</v>
      </c>
      <c r="N178" s="35">
        <v>44267</v>
      </c>
      <c r="O178" s="35">
        <v>44272</v>
      </c>
      <c r="P178" s="35">
        <v>44281</v>
      </c>
      <c r="Q178" s="38" t="s">
        <v>418</v>
      </c>
      <c r="R178" s="26"/>
      <c r="S178" s="36"/>
    </row>
    <row r="179" spans="1:19">
      <c r="A179" s="25">
        <v>177</v>
      </c>
      <c r="B179" s="27" t="s">
        <v>163</v>
      </c>
      <c r="C179" s="25" t="s">
        <v>696</v>
      </c>
      <c r="D179" s="25" t="s">
        <v>441</v>
      </c>
      <c r="E179" s="26" t="s">
        <v>19</v>
      </c>
      <c r="F179" s="26" t="s">
        <v>229</v>
      </c>
      <c r="G179" s="25" t="s">
        <v>415</v>
      </c>
      <c r="H179" s="26">
        <v>1</v>
      </c>
      <c r="I179" s="26">
        <v>160</v>
      </c>
      <c r="J179" s="26"/>
      <c r="K179" s="32"/>
      <c r="L179" s="33">
        <v>5529.6</v>
      </c>
      <c r="M179" s="33">
        <v>3333</v>
      </c>
      <c r="N179" s="35">
        <v>44267</v>
      </c>
      <c r="O179" s="35">
        <v>44279</v>
      </c>
      <c r="P179" s="35">
        <v>44288</v>
      </c>
      <c r="Q179" s="38" t="s">
        <v>418</v>
      </c>
      <c r="R179" s="26"/>
      <c r="S179" s="36" t="s">
        <v>787</v>
      </c>
    </row>
    <row r="180" spans="1:19">
      <c r="A180" s="27">
        <v>178</v>
      </c>
      <c r="B180" s="27" t="s">
        <v>250</v>
      </c>
      <c r="C180" s="25" t="s">
        <v>696</v>
      </c>
      <c r="D180" s="25" t="s">
        <v>441</v>
      </c>
      <c r="E180" s="26" t="s">
        <v>19</v>
      </c>
      <c r="F180" s="26" t="s">
        <v>229</v>
      </c>
      <c r="G180" s="25" t="s">
        <v>415</v>
      </c>
      <c r="H180" s="26">
        <v>1</v>
      </c>
      <c r="I180" s="26">
        <v>160</v>
      </c>
      <c r="J180" s="26"/>
      <c r="K180" s="32"/>
      <c r="L180" s="33">
        <v>1694</v>
      </c>
      <c r="M180" s="33">
        <v>2000</v>
      </c>
      <c r="N180" s="35">
        <v>44261</v>
      </c>
      <c r="O180" s="35">
        <v>44268</v>
      </c>
      <c r="P180" s="35">
        <v>44277</v>
      </c>
      <c r="Q180" s="38" t="s">
        <v>418</v>
      </c>
      <c r="R180" s="26"/>
      <c r="S180" s="36"/>
    </row>
    <row r="181" spans="1:19">
      <c r="A181" s="25">
        <v>179</v>
      </c>
      <c r="B181" s="26" t="s">
        <v>164</v>
      </c>
      <c r="C181" s="25" t="s">
        <v>696</v>
      </c>
      <c r="D181" s="25" t="s">
        <v>441</v>
      </c>
      <c r="E181" s="26" t="s">
        <v>19</v>
      </c>
      <c r="F181" s="26" t="s">
        <v>229</v>
      </c>
      <c r="G181" s="25" t="s">
        <v>415</v>
      </c>
      <c r="H181" s="26">
        <v>1</v>
      </c>
      <c r="I181" s="26">
        <v>160</v>
      </c>
      <c r="J181" s="26"/>
      <c r="K181" s="32"/>
      <c r="L181" s="33">
        <v>777</v>
      </c>
      <c r="M181" s="33">
        <v>2000</v>
      </c>
      <c r="N181" s="35">
        <v>44261</v>
      </c>
      <c r="O181" s="35">
        <v>44268</v>
      </c>
      <c r="P181" s="35">
        <v>44277</v>
      </c>
      <c r="Q181" s="38" t="s">
        <v>418</v>
      </c>
      <c r="R181" s="26"/>
      <c r="S181" s="36"/>
    </row>
    <row r="182" spans="1:19">
      <c r="A182" s="27">
        <v>180</v>
      </c>
      <c r="B182" s="26" t="s">
        <v>568</v>
      </c>
      <c r="C182" s="25" t="s">
        <v>696</v>
      </c>
      <c r="D182" s="25" t="s">
        <v>441</v>
      </c>
      <c r="E182" s="26" t="s">
        <v>19</v>
      </c>
      <c r="F182" s="26" t="s">
        <v>229</v>
      </c>
      <c r="G182" s="25" t="s">
        <v>422</v>
      </c>
      <c r="H182" s="26">
        <v>1</v>
      </c>
      <c r="I182" s="26">
        <v>160</v>
      </c>
      <c r="J182" s="26"/>
      <c r="K182" s="32"/>
      <c r="L182" s="33">
        <v>333.333333333333</v>
      </c>
      <c r="M182" s="33">
        <v>2000</v>
      </c>
      <c r="N182" s="35">
        <v>44285</v>
      </c>
      <c r="O182" s="35">
        <v>44310</v>
      </c>
      <c r="P182" s="35"/>
      <c r="Q182" s="26"/>
      <c r="R182" s="26"/>
      <c r="S182" s="36" t="s">
        <v>788</v>
      </c>
    </row>
    <row r="183" ht="108" spans="1:19">
      <c r="A183" s="25">
        <v>181</v>
      </c>
      <c r="B183" s="27" t="s">
        <v>247</v>
      </c>
      <c r="C183" s="25" t="s">
        <v>696</v>
      </c>
      <c r="D183" s="25" t="s">
        <v>441</v>
      </c>
      <c r="E183" s="26" t="s">
        <v>19</v>
      </c>
      <c r="F183" s="26" t="s">
        <v>229</v>
      </c>
      <c r="G183" s="25" t="s">
        <v>415</v>
      </c>
      <c r="H183" s="26">
        <v>2</v>
      </c>
      <c r="I183" s="26">
        <v>160</v>
      </c>
      <c r="J183" s="26"/>
      <c r="K183" s="32"/>
      <c r="L183" s="33">
        <v>59688.6666666666</v>
      </c>
      <c r="M183" s="33">
        <v>50000</v>
      </c>
      <c r="N183" s="35">
        <v>44261</v>
      </c>
      <c r="O183" s="35">
        <v>44272</v>
      </c>
      <c r="P183" s="35">
        <v>44288</v>
      </c>
      <c r="Q183" s="38" t="s">
        <v>418</v>
      </c>
      <c r="R183" s="29"/>
      <c r="S183" s="49" t="s">
        <v>789</v>
      </c>
    </row>
    <row r="184" spans="1:19">
      <c r="A184" s="27">
        <v>182</v>
      </c>
      <c r="B184" s="27" t="s">
        <v>165</v>
      </c>
      <c r="C184" s="25" t="s">
        <v>696</v>
      </c>
      <c r="D184" s="25" t="s">
        <v>441</v>
      </c>
      <c r="E184" s="26" t="s">
        <v>19</v>
      </c>
      <c r="F184" s="26" t="s">
        <v>229</v>
      </c>
      <c r="G184" s="25" t="s">
        <v>415</v>
      </c>
      <c r="H184" s="26">
        <v>4</v>
      </c>
      <c r="I184" s="26">
        <v>250</v>
      </c>
      <c r="J184" s="26"/>
      <c r="K184" s="32" t="s">
        <v>790</v>
      </c>
      <c r="L184" s="33">
        <v>50132.3</v>
      </c>
      <c r="M184" s="33">
        <v>50000</v>
      </c>
      <c r="N184" s="35">
        <v>44267</v>
      </c>
      <c r="O184" s="35">
        <v>44279</v>
      </c>
      <c r="P184" s="35">
        <v>44295</v>
      </c>
      <c r="Q184" s="38" t="s">
        <v>418</v>
      </c>
      <c r="R184" s="26"/>
      <c r="S184" s="36" t="s">
        <v>791</v>
      </c>
    </row>
    <row r="185" spans="1:19">
      <c r="A185" s="25">
        <v>183</v>
      </c>
      <c r="B185" s="26" t="s">
        <v>634</v>
      </c>
      <c r="C185" s="25" t="s">
        <v>696</v>
      </c>
      <c r="D185" s="25" t="s">
        <v>441</v>
      </c>
      <c r="E185" s="26" t="s">
        <v>19</v>
      </c>
      <c r="F185" s="26" t="s">
        <v>229</v>
      </c>
      <c r="G185" s="25" t="s">
        <v>415</v>
      </c>
      <c r="H185" s="26">
        <v>2</v>
      </c>
      <c r="I185" s="26">
        <v>160</v>
      </c>
      <c r="J185" s="26"/>
      <c r="K185" s="32"/>
      <c r="L185" s="33">
        <v>196.8</v>
      </c>
      <c r="M185" s="33">
        <v>2000</v>
      </c>
      <c r="N185" s="35">
        <v>44285</v>
      </c>
      <c r="O185" s="35">
        <v>44310</v>
      </c>
      <c r="P185" s="35">
        <v>44336</v>
      </c>
      <c r="Q185" s="38" t="s">
        <v>418</v>
      </c>
      <c r="R185" s="26"/>
      <c r="S185" s="36" t="s">
        <v>792</v>
      </c>
    </row>
    <row r="186" spans="1:19">
      <c r="A186" s="27">
        <v>184</v>
      </c>
      <c r="B186" s="27" t="s">
        <v>166</v>
      </c>
      <c r="C186" s="25" t="s">
        <v>696</v>
      </c>
      <c r="D186" s="25" t="s">
        <v>441</v>
      </c>
      <c r="E186" s="26" t="s">
        <v>19</v>
      </c>
      <c r="F186" s="26" t="s">
        <v>793</v>
      </c>
      <c r="G186" s="25" t="s">
        <v>415</v>
      </c>
      <c r="H186" s="26">
        <v>2</v>
      </c>
      <c r="I186" s="26">
        <v>160</v>
      </c>
      <c r="J186" s="26"/>
      <c r="K186" s="32"/>
      <c r="L186" s="33">
        <v>5241.6</v>
      </c>
      <c r="M186" s="33">
        <v>3333</v>
      </c>
      <c r="N186" s="35">
        <v>44267</v>
      </c>
      <c r="O186" s="35">
        <v>44272</v>
      </c>
      <c r="P186" s="35">
        <v>44295</v>
      </c>
      <c r="Q186" s="38" t="s">
        <v>418</v>
      </c>
      <c r="R186" s="26"/>
      <c r="S186" s="36" t="s">
        <v>794</v>
      </c>
    </row>
    <row r="187" spans="1:19">
      <c r="A187" s="25">
        <v>185</v>
      </c>
      <c r="B187" s="26" t="s">
        <v>167</v>
      </c>
      <c r="C187" s="25" t="s">
        <v>696</v>
      </c>
      <c r="D187" s="25" t="s">
        <v>441</v>
      </c>
      <c r="E187" s="26" t="s">
        <v>19</v>
      </c>
      <c r="F187" s="26" t="s">
        <v>229</v>
      </c>
      <c r="G187" s="25" t="s">
        <v>415</v>
      </c>
      <c r="H187" s="26">
        <v>2</v>
      </c>
      <c r="I187" s="26">
        <v>160</v>
      </c>
      <c r="J187" s="26"/>
      <c r="K187" s="32"/>
      <c r="L187" s="33">
        <v>14128.3333333333</v>
      </c>
      <c r="M187" s="33">
        <v>16666</v>
      </c>
      <c r="N187" s="35">
        <v>44285</v>
      </c>
      <c r="O187" s="35">
        <v>44295</v>
      </c>
      <c r="P187" s="35">
        <v>44312</v>
      </c>
      <c r="Q187" s="38" t="s">
        <v>418</v>
      </c>
      <c r="R187" s="26"/>
      <c r="S187" s="36"/>
    </row>
    <row r="188" spans="1:19">
      <c r="A188" s="27">
        <v>186</v>
      </c>
      <c r="B188" s="29" t="s">
        <v>99</v>
      </c>
      <c r="C188" s="25" t="s">
        <v>696</v>
      </c>
      <c r="D188" s="25" t="s">
        <v>414</v>
      </c>
      <c r="E188" s="26" t="s">
        <v>19</v>
      </c>
      <c r="F188" s="26" t="s">
        <v>229</v>
      </c>
      <c r="G188" s="25" t="s">
        <v>411</v>
      </c>
      <c r="H188" s="26">
        <v>2</v>
      </c>
      <c r="I188" s="26">
        <v>160</v>
      </c>
      <c r="J188" s="26"/>
      <c r="K188" s="36" t="s">
        <v>795</v>
      </c>
      <c r="L188" s="33">
        <v>33831.2333333334</v>
      </c>
      <c r="M188" s="33">
        <v>41122</v>
      </c>
      <c r="N188" s="34">
        <v>44354</v>
      </c>
      <c r="O188" s="35"/>
      <c r="P188" s="35"/>
      <c r="Q188" s="26"/>
      <c r="R188" s="26"/>
      <c r="S188" s="38" t="s">
        <v>796</v>
      </c>
    </row>
    <row r="189" spans="1:19">
      <c r="A189" s="25">
        <v>187</v>
      </c>
      <c r="B189" s="29" t="s">
        <v>103</v>
      </c>
      <c r="C189" s="25" t="s">
        <v>696</v>
      </c>
      <c r="D189" s="25" t="s">
        <v>414</v>
      </c>
      <c r="E189" s="26" t="s">
        <v>19</v>
      </c>
      <c r="F189" s="26" t="s">
        <v>229</v>
      </c>
      <c r="G189" s="25" t="s">
        <v>415</v>
      </c>
      <c r="H189" s="26">
        <v>2</v>
      </c>
      <c r="I189" s="26">
        <v>160</v>
      </c>
      <c r="J189" s="26"/>
      <c r="K189" s="32"/>
      <c r="L189" s="33">
        <v>35750.6333333333</v>
      </c>
      <c r="M189" s="33">
        <v>38995</v>
      </c>
      <c r="N189" s="34">
        <v>44354</v>
      </c>
      <c r="O189" s="35">
        <v>44355</v>
      </c>
      <c r="P189" s="35">
        <v>44363</v>
      </c>
      <c r="Q189" s="38" t="s">
        <v>797</v>
      </c>
      <c r="R189" s="26"/>
      <c r="S189" s="36"/>
    </row>
    <row r="190" spans="1:19">
      <c r="A190" s="27">
        <v>188</v>
      </c>
      <c r="B190" s="25" t="s">
        <v>168</v>
      </c>
      <c r="C190" s="25" t="s">
        <v>696</v>
      </c>
      <c r="D190" s="27" t="s">
        <v>441</v>
      </c>
      <c r="E190" s="26" t="s">
        <v>19</v>
      </c>
      <c r="F190" s="26" t="s">
        <v>229</v>
      </c>
      <c r="G190" s="25" t="s">
        <v>422</v>
      </c>
      <c r="H190" s="26">
        <v>2</v>
      </c>
      <c r="I190" s="26" t="s">
        <v>798</v>
      </c>
      <c r="J190" s="26"/>
      <c r="K190" s="32" t="s">
        <v>401</v>
      </c>
      <c r="L190" s="33">
        <v>6451.2</v>
      </c>
      <c r="M190" s="33">
        <v>8333</v>
      </c>
      <c r="N190" s="34">
        <v>44354</v>
      </c>
      <c r="O190" s="35">
        <v>44357</v>
      </c>
      <c r="P190" s="35"/>
      <c r="Q190" s="26"/>
      <c r="R190" s="26"/>
      <c r="S190" s="36" t="s">
        <v>799</v>
      </c>
    </row>
    <row r="191" spans="1:19">
      <c r="A191" s="25">
        <v>189</v>
      </c>
      <c r="B191" s="26" t="s">
        <v>169</v>
      </c>
      <c r="C191" s="25" t="s">
        <v>696</v>
      </c>
      <c r="D191" s="25" t="s">
        <v>441</v>
      </c>
      <c r="E191" s="26" t="s">
        <v>19</v>
      </c>
      <c r="F191" s="26" t="s">
        <v>229</v>
      </c>
      <c r="G191" s="25" t="s">
        <v>415</v>
      </c>
      <c r="H191" s="26">
        <v>2</v>
      </c>
      <c r="I191" s="26">
        <v>160</v>
      </c>
      <c r="J191" s="26"/>
      <c r="K191" s="32"/>
      <c r="L191" s="33">
        <v>16550.4</v>
      </c>
      <c r="M191" s="33">
        <v>20000</v>
      </c>
      <c r="N191" s="35">
        <v>44285</v>
      </c>
      <c r="O191" s="35">
        <v>44310</v>
      </c>
      <c r="P191" s="35">
        <v>44327</v>
      </c>
      <c r="Q191" s="38" t="s">
        <v>418</v>
      </c>
      <c r="R191" s="26"/>
      <c r="S191" s="36" t="s">
        <v>791</v>
      </c>
    </row>
    <row r="192" spans="1:19">
      <c r="A192" s="27">
        <v>190</v>
      </c>
      <c r="B192" s="47" t="s">
        <v>170</v>
      </c>
      <c r="C192" s="25" t="s">
        <v>696</v>
      </c>
      <c r="D192" s="25" t="s">
        <v>441</v>
      </c>
      <c r="E192" s="26" t="s">
        <v>19</v>
      </c>
      <c r="F192" s="26" t="s">
        <v>698</v>
      </c>
      <c r="G192" s="25" t="s">
        <v>415</v>
      </c>
      <c r="H192" s="26">
        <v>1</v>
      </c>
      <c r="I192" s="26">
        <v>160</v>
      </c>
      <c r="J192" s="26"/>
      <c r="K192" s="32"/>
      <c r="L192" s="33">
        <v>23760</v>
      </c>
      <c r="M192" s="33">
        <v>20000</v>
      </c>
      <c r="N192" s="34">
        <v>44354</v>
      </c>
      <c r="O192" s="35">
        <v>44354</v>
      </c>
      <c r="P192" s="35">
        <v>44380</v>
      </c>
      <c r="Q192" s="26" t="s">
        <v>418</v>
      </c>
      <c r="R192" s="26"/>
      <c r="S192" s="36" t="s">
        <v>800</v>
      </c>
    </row>
    <row r="193" spans="1:19">
      <c r="A193" s="25">
        <v>191</v>
      </c>
      <c r="B193" s="26" t="s">
        <v>346</v>
      </c>
      <c r="C193" s="25" t="s">
        <v>696</v>
      </c>
      <c r="D193" s="25" t="s">
        <v>441</v>
      </c>
      <c r="E193" s="26" t="s">
        <v>19</v>
      </c>
      <c r="F193" s="26" t="s">
        <v>229</v>
      </c>
      <c r="G193" s="25" t="s">
        <v>415</v>
      </c>
      <c r="H193" s="26">
        <v>2</v>
      </c>
      <c r="I193" s="26">
        <v>160</v>
      </c>
      <c r="J193" s="26"/>
      <c r="K193" s="32"/>
      <c r="L193" s="33">
        <v>836.2</v>
      </c>
      <c r="M193" s="33">
        <v>833</v>
      </c>
      <c r="N193" s="35">
        <v>44267</v>
      </c>
      <c r="O193" s="35">
        <v>44272</v>
      </c>
      <c r="P193" s="35">
        <v>44336</v>
      </c>
      <c r="Q193" s="38" t="s">
        <v>418</v>
      </c>
      <c r="R193" s="26"/>
      <c r="S193" s="36" t="s">
        <v>801</v>
      </c>
    </row>
    <row r="194" spans="1:19">
      <c r="A194" s="27">
        <v>192</v>
      </c>
      <c r="B194" s="27" t="s">
        <v>171</v>
      </c>
      <c r="C194" s="25" t="s">
        <v>696</v>
      </c>
      <c r="D194" s="25" t="s">
        <v>441</v>
      </c>
      <c r="E194" s="26" t="s">
        <v>19</v>
      </c>
      <c r="F194" s="26" t="s">
        <v>793</v>
      </c>
      <c r="G194" s="25" t="s">
        <v>415</v>
      </c>
      <c r="H194" s="26">
        <v>2</v>
      </c>
      <c r="I194" s="26">
        <v>160</v>
      </c>
      <c r="J194" s="26"/>
      <c r="K194" s="32"/>
      <c r="L194" s="33">
        <v>8936.66666666667</v>
      </c>
      <c r="M194" s="33">
        <v>16666</v>
      </c>
      <c r="N194" s="35">
        <v>44285</v>
      </c>
      <c r="O194" s="35">
        <v>44295</v>
      </c>
      <c r="P194" s="35">
        <v>44312</v>
      </c>
      <c r="Q194" s="38" t="s">
        <v>418</v>
      </c>
      <c r="R194" s="26"/>
      <c r="S194" s="36" t="s">
        <v>802</v>
      </c>
    </row>
    <row r="195" spans="1:19">
      <c r="A195" s="25">
        <v>193</v>
      </c>
      <c r="B195" s="25" t="s">
        <v>575</v>
      </c>
      <c r="C195" s="25" t="s">
        <v>696</v>
      </c>
      <c r="D195" s="25" t="s">
        <v>441</v>
      </c>
      <c r="E195" s="26" t="s">
        <v>19</v>
      </c>
      <c r="F195" s="26" t="s">
        <v>793</v>
      </c>
      <c r="G195" s="25" t="s">
        <v>411</v>
      </c>
      <c r="H195" s="26">
        <v>2</v>
      </c>
      <c r="I195" s="26">
        <v>160</v>
      </c>
      <c r="J195" s="26"/>
      <c r="K195" s="36" t="s">
        <v>803</v>
      </c>
      <c r="L195" s="33">
        <v>16753</v>
      </c>
      <c r="M195" s="33">
        <v>16666</v>
      </c>
      <c r="N195" s="34">
        <v>44356</v>
      </c>
      <c r="O195" s="35"/>
      <c r="P195" s="35"/>
      <c r="Q195" s="26"/>
      <c r="R195" s="26"/>
      <c r="S195" s="32" t="s">
        <v>804</v>
      </c>
    </row>
    <row r="196" spans="1:19">
      <c r="A196" s="27">
        <v>194</v>
      </c>
      <c r="B196" s="26" t="s">
        <v>577</v>
      </c>
      <c r="C196" s="25" t="s">
        <v>696</v>
      </c>
      <c r="D196" s="25" t="s">
        <v>441</v>
      </c>
      <c r="E196" s="26" t="s">
        <v>19</v>
      </c>
      <c r="F196" s="26" t="s">
        <v>229</v>
      </c>
      <c r="G196" s="25" t="s">
        <v>422</v>
      </c>
      <c r="H196" s="26">
        <v>2</v>
      </c>
      <c r="I196" s="26">
        <v>250</v>
      </c>
      <c r="J196" s="26"/>
      <c r="K196" s="32"/>
      <c r="L196" s="33">
        <v>910</v>
      </c>
      <c r="M196" s="33">
        <v>3333</v>
      </c>
      <c r="N196" s="35">
        <v>44285</v>
      </c>
      <c r="O196" s="35">
        <v>44295</v>
      </c>
      <c r="P196" s="35"/>
      <c r="Q196" s="26"/>
      <c r="R196" s="26"/>
      <c r="S196" s="36" t="s">
        <v>699</v>
      </c>
    </row>
    <row r="197" spans="1:19">
      <c r="A197" s="25">
        <v>195</v>
      </c>
      <c r="B197" s="26" t="s">
        <v>580</v>
      </c>
      <c r="C197" s="25" t="s">
        <v>696</v>
      </c>
      <c r="D197" s="25" t="s">
        <v>441</v>
      </c>
      <c r="E197" s="26" t="s">
        <v>19</v>
      </c>
      <c r="F197" s="26" t="s">
        <v>229</v>
      </c>
      <c r="G197" s="25" t="s">
        <v>411</v>
      </c>
      <c r="H197" s="26">
        <v>2</v>
      </c>
      <c r="I197" s="26">
        <v>160</v>
      </c>
      <c r="J197" s="26"/>
      <c r="K197" s="36" t="s">
        <v>805</v>
      </c>
      <c r="L197" s="33">
        <v>7360</v>
      </c>
      <c r="M197" s="33">
        <v>1666</v>
      </c>
      <c r="N197" s="35">
        <v>44267</v>
      </c>
      <c r="O197" s="35"/>
      <c r="P197" s="35"/>
      <c r="Q197" s="26"/>
      <c r="R197" s="26"/>
      <c r="S197" s="36"/>
    </row>
    <row r="198" spans="1:19">
      <c r="A198" s="27">
        <v>196</v>
      </c>
      <c r="B198" s="26" t="s">
        <v>172</v>
      </c>
      <c r="C198" s="25" t="s">
        <v>696</v>
      </c>
      <c r="D198" s="25" t="s">
        <v>441</v>
      </c>
      <c r="E198" s="26" t="s">
        <v>19</v>
      </c>
      <c r="F198" s="26" t="s">
        <v>229</v>
      </c>
      <c r="G198" s="25" t="s">
        <v>415</v>
      </c>
      <c r="H198" s="26">
        <v>2</v>
      </c>
      <c r="I198" s="26">
        <v>160</v>
      </c>
      <c r="J198" s="26"/>
      <c r="K198" s="32"/>
      <c r="L198" s="33">
        <v>3418</v>
      </c>
      <c r="M198" s="33">
        <v>2000</v>
      </c>
      <c r="N198" s="35">
        <v>44285</v>
      </c>
      <c r="O198" s="35">
        <v>44295</v>
      </c>
      <c r="P198" s="35">
        <v>44312</v>
      </c>
      <c r="Q198" s="38" t="s">
        <v>418</v>
      </c>
      <c r="R198" s="26"/>
      <c r="S198" s="36"/>
    </row>
    <row r="199" spans="1:19">
      <c r="A199" s="25">
        <v>197</v>
      </c>
      <c r="B199" s="27" t="s">
        <v>173</v>
      </c>
      <c r="C199" s="25" t="s">
        <v>696</v>
      </c>
      <c r="D199" s="25" t="s">
        <v>441</v>
      </c>
      <c r="E199" s="26" t="s">
        <v>19</v>
      </c>
      <c r="F199" s="26" t="s">
        <v>229</v>
      </c>
      <c r="G199" s="25" t="s">
        <v>415</v>
      </c>
      <c r="H199" s="26">
        <v>1</v>
      </c>
      <c r="I199" s="26">
        <v>160</v>
      </c>
      <c r="J199" s="26"/>
      <c r="K199" s="32"/>
      <c r="L199" s="33">
        <v>736.4</v>
      </c>
      <c r="M199" s="33">
        <v>833</v>
      </c>
      <c r="N199" s="35">
        <v>44267</v>
      </c>
      <c r="O199" s="35">
        <v>44268</v>
      </c>
      <c r="P199" s="35">
        <v>44277</v>
      </c>
      <c r="Q199" s="38" t="s">
        <v>418</v>
      </c>
      <c r="R199" s="26"/>
      <c r="S199" s="36"/>
    </row>
    <row r="200" spans="1:19">
      <c r="A200" s="27">
        <v>198</v>
      </c>
      <c r="B200" s="25" t="s">
        <v>806</v>
      </c>
      <c r="C200" s="25" t="s">
        <v>696</v>
      </c>
      <c r="D200" s="25" t="s">
        <v>414</v>
      </c>
      <c r="E200" s="26" t="s">
        <v>43</v>
      </c>
      <c r="F200" s="26" t="s">
        <v>229</v>
      </c>
      <c r="G200" s="25" t="s">
        <v>411</v>
      </c>
      <c r="H200" s="26">
        <v>1</v>
      </c>
      <c r="I200" s="26">
        <v>160</v>
      </c>
      <c r="J200" s="26"/>
      <c r="K200" s="32"/>
      <c r="L200" s="33">
        <v>2437.93333333333</v>
      </c>
      <c r="M200" s="33">
        <v>2951</v>
      </c>
      <c r="N200" s="34">
        <v>44278</v>
      </c>
      <c r="O200" s="35"/>
      <c r="P200" s="35"/>
      <c r="Q200" s="26"/>
      <c r="R200" s="26"/>
      <c r="S200" s="36"/>
    </row>
    <row r="201" spans="1:19">
      <c r="A201" s="25">
        <v>199</v>
      </c>
      <c r="B201" s="25" t="s">
        <v>807</v>
      </c>
      <c r="C201" s="25" t="s">
        <v>696</v>
      </c>
      <c r="D201" s="25" t="s">
        <v>414</v>
      </c>
      <c r="E201" s="26" t="s">
        <v>43</v>
      </c>
      <c r="F201" s="26" t="s">
        <v>229</v>
      </c>
      <c r="G201" s="25" t="s">
        <v>411</v>
      </c>
      <c r="H201" s="26">
        <v>2</v>
      </c>
      <c r="I201" s="26">
        <v>160</v>
      </c>
      <c r="J201" s="26"/>
      <c r="K201" s="32"/>
      <c r="L201" s="33">
        <v>2149.93333333333</v>
      </c>
      <c r="M201" s="33">
        <v>1666</v>
      </c>
      <c r="N201" s="34">
        <v>44278</v>
      </c>
      <c r="O201" s="35"/>
      <c r="P201" s="35"/>
      <c r="Q201" s="26"/>
      <c r="R201" s="26"/>
      <c r="S201" s="36"/>
    </row>
    <row r="202" spans="1:19">
      <c r="A202" s="27">
        <v>200</v>
      </c>
      <c r="B202" s="25" t="s">
        <v>808</v>
      </c>
      <c r="C202" s="25" t="s">
        <v>696</v>
      </c>
      <c r="D202" s="25" t="s">
        <v>414</v>
      </c>
      <c r="E202" s="26" t="s">
        <v>43</v>
      </c>
      <c r="F202" s="26" t="s">
        <v>809</v>
      </c>
      <c r="G202" s="25" t="s">
        <v>411</v>
      </c>
      <c r="H202" s="26">
        <v>2</v>
      </c>
      <c r="I202" s="26">
        <v>160</v>
      </c>
      <c r="J202" s="26"/>
      <c r="K202" s="32"/>
      <c r="L202" s="33">
        <v>2743.16666666667</v>
      </c>
      <c r="M202" s="33">
        <v>5000</v>
      </c>
      <c r="N202" s="34">
        <v>44278</v>
      </c>
      <c r="O202" s="35"/>
      <c r="P202" s="35"/>
      <c r="Q202" s="26"/>
      <c r="R202" s="26"/>
      <c r="S202" s="36"/>
    </row>
    <row r="203" spans="1:19">
      <c r="A203" s="25">
        <v>201</v>
      </c>
      <c r="B203" s="25" t="s">
        <v>810</v>
      </c>
      <c r="C203" s="25" t="s">
        <v>696</v>
      </c>
      <c r="D203" s="25" t="s">
        <v>414</v>
      </c>
      <c r="E203" s="26" t="s">
        <v>43</v>
      </c>
      <c r="F203" s="26" t="s">
        <v>811</v>
      </c>
      <c r="G203" s="25" t="s">
        <v>411</v>
      </c>
      <c r="H203" s="26">
        <v>4</v>
      </c>
      <c r="I203" s="26">
        <v>160</v>
      </c>
      <c r="J203" s="26"/>
      <c r="K203" s="32"/>
      <c r="L203" s="33">
        <v>0</v>
      </c>
      <c r="M203" s="33">
        <v>5803</v>
      </c>
      <c r="N203" s="34">
        <v>44278</v>
      </c>
      <c r="O203" s="35"/>
      <c r="P203" s="35"/>
      <c r="Q203" s="26"/>
      <c r="R203" s="26"/>
      <c r="S203" s="36"/>
    </row>
    <row r="204" spans="1:19">
      <c r="A204" s="27">
        <v>202</v>
      </c>
      <c r="B204" s="25" t="s">
        <v>812</v>
      </c>
      <c r="C204" s="25" t="s">
        <v>696</v>
      </c>
      <c r="D204" s="25" t="s">
        <v>414</v>
      </c>
      <c r="E204" s="26" t="s">
        <v>43</v>
      </c>
      <c r="F204" s="26" t="s">
        <v>775</v>
      </c>
      <c r="G204" s="25" t="s">
        <v>411</v>
      </c>
      <c r="H204" s="26">
        <v>1</v>
      </c>
      <c r="I204" s="26">
        <v>250</v>
      </c>
      <c r="J204" s="26"/>
      <c r="K204" s="32"/>
      <c r="L204" s="33">
        <v>0</v>
      </c>
      <c r="M204" s="33">
        <v>11261</v>
      </c>
      <c r="N204" s="34">
        <v>44279</v>
      </c>
      <c r="O204" s="35"/>
      <c r="P204" s="35"/>
      <c r="Q204" s="26"/>
      <c r="R204" s="26"/>
      <c r="S204" s="36"/>
    </row>
    <row r="205" spans="1:19">
      <c r="A205" s="25">
        <v>203</v>
      </c>
      <c r="B205" s="25" t="s">
        <v>813</v>
      </c>
      <c r="C205" s="25" t="s">
        <v>696</v>
      </c>
      <c r="D205" s="25" t="s">
        <v>414</v>
      </c>
      <c r="E205" s="26" t="s">
        <v>43</v>
      </c>
      <c r="F205" s="26" t="s">
        <v>814</v>
      </c>
      <c r="G205" s="25" t="s">
        <v>411</v>
      </c>
      <c r="H205" s="26">
        <v>1</v>
      </c>
      <c r="I205" s="26">
        <v>160</v>
      </c>
      <c r="J205" s="26"/>
      <c r="K205" s="32"/>
      <c r="L205" s="33">
        <v>0</v>
      </c>
      <c r="M205" s="33">
        <v>4140</v>
      </c>
      <c r="N205" s="34">
        <v>44278</v>
      </c>
      <c r="O205" s="35"/>
      <c r="P205" s="35"/>
      <c r="Q205" s="26"/>
      <c r="R205" s="26"/>
      <c r="S205" s="36"/>
    </row>
    <row r="206" spans="1:19">
      <c r="A206" s="27">
        <v>204</v>
      </c>
      <c r="B206" s="25" t="s">
        <v>815</v>
      </c>
      <c r="C206" s="25" t="s">
        <v>696</v>
      </c>
      <c r="D206" s="25" t="s">
        <v>414</v>
      </c>
      <c r="E206" s="26" t="s">
        <v>43</v>
      </c>
      <c r="F206" s="26" t="s">
        <v>738</v>
      </c>
      <c r="G206" s="25" t="s">
        <v>422</v>
      </c>
      <c r="H206" s="26">
        <v>1</v>
      </c>
      <c r="I206" s="26">
        <v>160</v>
      </c>
      <c r="J206" s="26"/>
      <c r="K206" s="32"/>
      <c r="L206" s="33">
        <v>20030.6</v>
      </c>
      <c r="M206" s="33">
        <v>24563</v>
      </c>
      <c r="N206" s="34">
        <v>44279</v>
      </c>
      <c r="O206" s="35">
        <v>44279</v>
      </c>
      <c r="P206" s="35"/>
      <c r="Q206" s="26"/>
      <c r="R206" s="26"/>
      <c r="S206" s="36" t="s">
        <v>816</v>
      </c>
    </row>
    <row r="207" spans="1:19">
      <c r="A207" s="25">
        <v>205</v>
      </c>
      <c r="B207" s="25" t="s">
        <v>817</v>
      </c>
      <c r="C207" s="25" t="s">
        <v>696</v>
      </c>
      <c r="D207" s="25" t="s">
        <v>414</v>
      </c>
      <c r="E207" s="26" t="s">
        <v>43</v>
      </c>
      <c r="F207" s="26" t="s">
        <v>229</v>
      </c>
      <c r="G207" s="25" t="s">
        <v>411</v>
      </c>
      <c r="H207" s="26">
        <v>1</v>
      </c>
      <c r="I207" s="26">
        <v>250</v>
      </c>
      <c r="J207" s="26"/>
      <c r="K207" s="32"/>
      <c r="L207" s="33">
        <v>0</v>
      </c>
      <c r="M207" s="33">
        <v>37367</v>
      </c>
      <c r="N207" s="34">
        <v>44281</v>
      </c>
      <c r="O207" s="35"/>
      <c r="P207" s="35"/>
      <c r="Q207" s="26"/>
      <c r="R207" s="26"/>
      <c r="S207" s="36"/>
    </row>
    <row r="208" spans="1:19">
      <c r="A208" s="27">
        <v>206</v>
      </c>
      <c r="B208" s="25" t="s">
        <v>565</v>
      </c>
      <c r="C208" s="25" t="s">
        <v>696</v>
      </c>
      <c r="D208" s="25" t="s">
        <v>414</v>
      </c>
      <c r="E208" s="26" t="s">
        <v>19</v>
      </c>
      <c r="F208" s="26" t="s">
        <v>229</v>
      </c>
      <c r="G208" s="25" t="s">
        <v>411</v>
      </c>
      <c r="H208" s="26">
        <v>1</v>
      </c>
      <c r="I208" s="26"/>
      <c r="J208" s="26"/>
      <c r="K208" s="36" t="s">
        <v>693</v>
      </c>
      <c r="L208" s="33">
        <v>17753.6</v>
      </c>
      <c r="M208" s="33">
        <v>17753.6</v>
      </c>
      <c r="N208" s="34">
        <v>44365</v>
      </c>
      <c r="O208" s="26"/>
      <c r="P208" s="26"/>
      <c r="Q208" s="26"/>
      <c r="R208" s="26"/>
      <c r="S208" s="36" t="s">
        <v>818</v>
      </c>
    </row>
    <row r="209" spans="1:19">
      <c r="A209" s="25">
        <v>207</v>
      </c>
      <c r="B209" s="25" t="s">
        <v>561</v>
      </c>
      <c r="C209" s="25" t="s">
        <v>696</v>
      </c>
      <c r="D209" s="25" t="s">
        <v>414</v>
      </c>
      <c r="E209" s="26" t="s">
        <v>22</v>
      </c>
      <c r="F209" s="26" t="s">
        <v>229</v>
      </c>
      <c r="G209" s="25" t="s">
        <v>411</v>
      </c>
      <c r="H209" s="26">
        <v>2</v>
      </c>
      <c r="I209" s="26"/>
      <c r="J209" s="26"/>
      <c r="K209" s="36" t="s">
        <v>401</v>
      </c>
      <c r="L209" s="33">
        <v>13880</v>
      </c>
      <c r="M209" s="33">
        <v>13880</v>
      </c>
      <c r="N209" s="34">
        <v>44365</v>
      </c>
      <c r="O209" s="26"/>
      <c r="P209" s="26"/>
      <c r="Q209" s="26"/>
      <c r="R209" s="26"/>
      <c r="S209" s="36" t="s">
        <v>763</v>
      </c>
    </row>
    <row r="210" spans="1:19">
      <c r="A210" s="27">
        <v>208</v>
      </c>
      <c r="B210" s="25" t="s">
        <v>554</v>
      </c>
      <c r="C210" s="25" t="s">
        <v>696</v>
      </c>
      <c r="D210" s="25" t="s">
        <v>414</v>
      </c>
      <c r="E210" s="26" t="s">
        <v>19</v>
      </c>
      <c r="F210" s="26" t="s">
        <v>229</v>
      </c>
      <c r="G210" s="25" t="s">
        <v>411</v>
      </c>
      <c r="H210" s="26">
        <v>1</v>
      </c>
      <c r="I210" s="26"/>
      <c r="J210" s="26"/>
      <c r="K210" s="36" t="s">
        <v>401</v>
      </c>
      <c r="L210" s="33">
        <v>12060</v>
      </c>
      <c r="M210" s="33">
        <v>12060</v>
      </c>
      <c r="N210" s="34">
        <v>44365</v>
      </c>
      <c r="O210" s="26"/>
      <c r="P210" s="26"/>
      <c r="Q210" s="26"/>
      <c r="R210" s="26"/>
      <c r="S210" s="36" t="s">
        <v>819</v>
      </c>
    </row>
    <row r="211" spans="1:19">
      <c r="A211" s="25">
        <v>209</v>
      </c>
      <c r="B211" s="25" t="s">
        <v>528</v>
      </c>
      <c r="C211" s="25" t="s">
        <v>696</v>
      </c>
      <c r="D211" s="25" t="s">
        <v>414</v>
      </c>
      <c r="E211" s="26" t="s">
        <v>50</v>
      </c>
      <c r="F211" s="26" t="s">
        <v>229</v>
      </c>
      <c r="G211" s="25" t="s">
        <v>411</v>
      </c>
      <c r="H211" s="26">
        <v>2</v>
      </c>
      <c r="I211" s="26"/>
      <c r="J211" s="26"/>
      <c r="K211" s="36" t="s">
        <v>401</v>
      </c>
      <c r="L211" s="33">
        <v>11601.5666666667</v>
      </c>
      <c r="M211" s="33">
        <v>11601.5666666667</v>
      </c>
      <c r="N211" s="34">
        <v>44365</v>
      </c>
      <c r="O211" s="26"/>
      <c r="P211" s="26"/>
      <c r="Q211" s="26"/>
      <c r="R211" s="26"/>
      <c r="S211" s="36" t="s">
        <v>820</v>
      </c>
    </row>
    <row r="212" spans="1:19">
      <c r="A212" s="27">
        <v>210</v>
      </c>
      <c r="B212" s="25" t="s">
        <v>530</v>
      </c>
      <c r="C212" s="25" t="s">
        <v>696</v>
      </c>
      <c r="D212" s="25" t="s">
        <v>414</v>
      </c>
      <c r="E212" s="26" t="s">
        <v>50</v>
      </c>
      <c r="F212" s="26" t="s">
        <v>229</v>
      </c>
      <c r="G212" s="25" t="s">
        <v>422</v>
      </c>
      <c r="H212" s="26">
        <v>2</v>
      </c>
      <c r="I212" s="26"/>
      <c r="J212" s="26"/>
      <c r="K212" s="36" t="s">
        <v>821</v>
      </c>
      <c r="L212" s="33">
        <v>9441.63333333333</v>
      </c>
      <c r="M212" s="33">
        <v>9441.63333333333</v>
      </c>
      <c r="N212" s="34">
        <v>44365</v>
      </c>
      <c r="O212" s="34">
        <v>44375</v>
      </c>
      <c r="P212" s="26"/>
      <c r="Q212" s="26"/>
      <c r="R212" s="26"/>
      <c r="S212" s="45" t="s">
        <v>822</v>
      </c>
    </row>
    <row r="213" spans="1:19">
      <c r="A213" s="25">
        <v>211</v>
      </c>
      <c r="B213" s="25" t="s">
        <v>532</v>
      </c>
      <c r="C213" s="25" t="s">
        <v>696</v>
      </c>
      <c r="D213" s="25" t="s">
        <v>414</v>
      </c>
      <c r="E213" s="26" t="s">
        <v>50</v>
      </c>
      <c r="F213" s="26" t="s">
        <v>757</v>
      </c>
      <c r="G213" s="25" t="s">
        <v>422</v>
      </c>
      <c r="H213" s="26">
        <v>6</v>
      </c>
      <c r="I213" s="26"/>
      <c r="J213" s="26"/>
      <c r="K213" s="36" t="s">
        <v>821</v>
      </c>
      <c r="L213" s="33">
        <v>7758.33333333333</v>
      </c>
      <c r="M213" s="33">
        <v>7758.33333333333</v>
      </c>
      <c r="N213" s="34">
        <v>44365</v>
      </c>
      <c r="O213" s="34">
        <v>44370</v>
      </c>
      <c r="P213" s="26"/>
      <c r="Q213" s="26"/>
      <c r="R213" s="26"/>
      <c r="S213" s="45" t="s">
        <v>823</v>
      </c>
    </row>
    <row r="214" spans="1:19">
      <c r="A214" s="27">
        <v>212</v>
      </c>
      <c r="B214" s="25" t="s">
        <v>524</v>
      </c>
      <c r="C214" s="25" t="s">
        <v>696</v>
      </c>
      <c r="D214" s="25" t="s">
        <v>414</v>
      </c>
      <c r="E214" s="26" t="s">
        <v>50</v>
      </c>
      <c r="F214" s="26" t="s">
        <v>229</v>
      </c>
      <c r="G214" s="25" t="s">
        <v>411</v>
      </c>
      <c r="H214" s="26">
        <v>1</v>
      </c>
      <c r="I214" s="26"/>
      <c r="J214" s="26" t="s">
        <v>824</v>
      </c>
      <c r="K214" s="34">
        <v>44383</v>
      </c>
      <c r="L214" s="33">
        <v>6902.46666666667</v>
      </c>
      <c r="M214" s="33">
        <v>6902.46666666667</v>
      </c>
      <c r="N214" s="34">
        <v>44365</v>
      </c>
      <c r="O214" s="26"/>
      <c r="P214" s="26"/>
      <c r="Q214" s="26"/>
      <c r="R214" s="26"/>
      <c r="S214" s="36" t="s">
        <v>763</v>
      </c>
    </row>
    <row r="215" spans="1:19">
      <c r="A215" s="25">
        <v>213</v>
      </c>
      <c r="B215" s="25" t="s">
        <v>267</v>
      </c>
      <c r="C215" s="25" t="s">
        <v>696</v>
      </c>
      <c r="D215" s="25" t="s">
        <v>414</v>
      </c>
      <c r="E215" s="26" t="s">
        <v>19</v>
      </c>
      <c r="F215" s="26" t="s">
        <v>229</v>
      </c>
      <c r="G215" s="25" t="s">
        <v>415</v>
      </c>
      <c r="H215" s="26">
        <v>2</v>
      </c>
      <c r="I215" s="26"/>
      <c r="J215" s="26"/>
      <c r="K215" s="36"/>
      <c r="L215" s="33">
        <v>6877.5</v>
      </c>
      <c r="M215" s="33">
        <v>6877.5</v>
      </c>
      <c r="N215" s="34">
        <v>44365</v>
      </c>
      <c r="O215" s="34">
        <v>44370</v>
      </c>
      <c r="P215" s="34">
        <v>44387</v>
      </c>
      <c r="Q215" s="26" t="s">
        <v>418</v>
      </c>
      <c r="R215" s="26"/>
      <c r="S215" s="36" t="s">
        <v>825</v>
      </c>
    </row>
    <row r="216" spans="1:19">
      <c r="A216" s="27">
        <v>214</v>
      </c>
      <c r="B216" s="25" t="s">
        <v>585</v>
      </c>
      <c r="C216" s="25" t="s">
        <v>696</v>
      </c>
      <c r="D216" s="25" t="s">
        <v>414</v>
      </c>
      <c r="E216" s="26" t="s">
        <v>54</v>
      </c>
      <c r="F216" s="26" t="s">
        <v>757</v>
      </c>
      <c r="G216" s="25" t="s">
        <v>491</v>
      </c>
      <c r="H216" s="26">
        <v>2</v>
      </c>
      <c r="I216" s="26"/>
      <c r="J216" s="26"/>
      <c r="K216" s="36" t="s">
        <v>693</v>
      </c>
      <c r="L216" s="33">
        <v>5786.4</v>
      </c>
      <c r="M216" s="33">
        <v>5786.4</v>
      </c>
      <c r="N216" s="34">
        <v>44365</v>
      </c>
      <c r="O216" s="35">
        <v>44375</v>
      </c>
      <c r="P216" s="26"/>
      <c r="Q216" s="26"/>
      <c r="R216" s="26" t="s">
        <v>722</v>
      </c>
      <c r="S216" s="36" t="s">
        <v>826</v>
      </c>
    </row>
    <row r="217" spans="1:19">
      <c r="A217" s="25">
        <v>215</v>
      </c>
      <c r="B217" s="25" t="s">
        <v>515</v>
      </c>
      <c r="C217" s="25" t="s">
        <v>696</v>
      </c>
      <c r="D217" s="25" t="s">
        <v>414</v>
      </c>
      <c r="E217" s="26" t="s">
        <v>50</v>
      </c>
      <c r="F217" s="26" t="s">
        <v>229</v>
      </c>
      <c r="G217" s="25" t="s">
        <v>411</v>
      </c>
      <c r="H217" s="26"/>
      <c r="I217" s="26"/>
      <c r="J217" s="26"/>
      <c r="K217" s="36" t="s">
        <v>401</v>
      </c>
      <c r="L217" s="33">
        <v>5297.8</v>
      </c>
      <c r="M217" s="33">
        <v>5297.8</v>
      </c>
      <c r="N217" s="34">
        <v>44365</v>
      </c>
      <c r="O217" s="26"/>
      <c r="P217" s="26"/>
      <c r="Q217" s="26"/>
      <c r="R217" s="26"/>
      <c r="S217" s="36" t="s">
        <v>763</v>
      </c>
    </row>
    <row r="218" spans="1:19">
      <c r="A218" s="27">
        <v>216</v>
      </c>
      <c r="B218" s="25" t="s">
        <v>570</v>
      </c>
      <c r="C218" s="25" t="s">
        <v>696</v>
      </c>
      <c r="D218" s="25" t="s">
        <v>414</v>
      </c>
      <c r="E218" s="26" t="s">
        <v>19</v>
      </c>
      <c r="F218" s="26" t="s">
        <v>229</v>
      </c>
      <c r="G218" s="25" t="s">
        <v>411</v>
      </c>
      <c r="H218" s="26">
        <v>1</v>
      </c>
      <c r="I218" s="26"/>
      <c r="J218" s="26"/>
      <c r="K218" s="36" t="s">
        <v>401</v>
      </c>
      <c r="L218" s="33">
        <v>5049.33333333334</v>
      </c>
      <c r="M218" s="33">
        <v>5049.33333333334</v>
      </c>
      <c r="N218" s="34">
        <v>44365</v>
      </c>
      <c r="O218" s="50"/>
      <c r="P218" s="26"/>
      <c r="Q218" s="26"/>
      <c r="R218" s="26"/>
      <c r="S218" s="36"/>
    </row>
    <row r="219" spans="1:19">
      <c r="A219" s="25">
        <v>217</v>
      </c>
      <c r="B219" s="25" t="s">
        <v>100</v>
      </c>
      <c r="C219" s="25" t="s">
        <v>696</v>
      </c>
      <c r="D219" s="25" t="s">
        <v>414</v>
      </c>
      <c r="E219" s="26" t="s">
        <v>22</v>
      </c>
      <c r="F219" s="26" t="s">
        <v>229</v>
      </c>
      <c r="G219" s="25" t="s">
        <v>415</v>
      </c>
      <c r="H219" s="26">
        <v>1</v>
      </c>
      <c r="I219" s="26"/>
      <c r="J219" s="26"/>
      <c r="K219" s="32"/>
      <c r="L219" s="33">
        <v>11706.1666666667</v>
      </c>
      <c r="M219" s="33">
        <v>15303.5833333333</v>
      </c>
      <c r="N219" s="34">
        <v>44293</v>
      </c>
      <c r="O219" s="34">
        <v>44369</v>
      </c>
      <c r="P219" s="34">
        <v>44379</v>
      </c>
      <c r="Q219" s="26" t="s">
        <v>418</v>
      </c>
      <c r="R219" s="26"/>
      <c r="S219" s="36"/>
    </row>
    <row r="220" spans="1:19">
      <c r="A220" s="27">
        <v>218</v>
      </c>
      <c r="B220" s="25" t="s">
        <v>572</v>
      </c>
      <c r="C220" s="25" t="s">
        <v>696</v>
      </c>
      <c r="D220" s="25" t="s">
        <v>441</v>
      </c>
      <c r="E220" s="26" t="s">
        <v>54</v>
      </c>
      <c r="F220" s="26" t="s">
        <v>698</v>
      </c>
      <c r="G220" s="25" t="s">
        <v>422</v>
      </c>
      <c r="H220" s="26">
        <v>2</v>
      </c>
      <c r="I220" s="26"/>
      <c r="J220" s="26"/>
      <c r="K220" s="36"/>
      <c r="L220" s="33">
        <v>19754.4</v>
      </c>
      <c r="M220" s="33">
        <v>19754.4</v>
      </c>
      <c r="N220" s="34">
        <v>44369</v>
      </c>
      <c r="O220" s="34">
        <v>44372</v>
      </c>
      <c r="P220" s="26"/>
      <c r="Q220" s="26"/>
      <c r="R220" s="26"/>
      <c r="S220" s="36"/>
    </row>
    <row r="221" spans="1:19">
      <c r="A221" s="25">
        <v>219</v>
      </c>
      <c r="B221" s="25" t="s">
        <v>581</v>
      </c>
      <c r="C221" s="25" t="s">
        <v>696</v>
      </c>
      <c r="D221" s="25" t="s">
        <v>441</v>
      </c>
      <c r="E221" s="26" t="s">
        <v>54</v>
      </c>
      <c r="F221" s="26" t="s">
        <v>229</v>
      </c>
      <c r="G221" s="25" t="s">
        <v>422</v>
      </c>
      <c r="H221" s="26">
        <v>2</v>
      </c>
      <c r="I221" s="26"/>
      <c r="J221" s="26"/>
      <c r="K221" s="36"/>
      <c r="L221" s="33">
        <v>7257.06666666667</v>
      </c>
      <c r="M221" s="33">
        <v>7257.06666666667</v>
      </c>
      <c r="N221" s="34">
        <v>44369</v>
      </c>
      <c r="O221" s="34">
        <v>44372</v>
      </c>
      <c r="P221" s="26"/>
      <c r="Q221" s="26"/>
      <c r="R221" s="26"/>
      <c r="S221" s="36"/>
    </row>
    <row r="222" spans="1:19">
      <c r="A222" s="27">
        <v>220</v>
      </c>
      <c r="B222" s="25" t="s">
        <v>485</v>
      </c>
      <c r="C222" s="25" t="s">
        <v>696</v>
      </c>
      <c r="D222" s="25" t="s">
        <v>441</v>
      </c>
      <c r="E222" s="26" t="s">
        <v>26</v>
      </c>
      <c r="F222" s="26" t="s">
        <v>229</v>
      </c>
      <c r="G222" s="25" t="s">
        <v>411</v>
      </c>
      <c r="H222" s="26">
        <v>2</v>
      </c>
      <c r="I222" s="26"/>
      <c r="J222" s="26"/>
      <c r="K222" s="36" t="s">
        <v>447</v>
      </c>
      <c r="L222" s="33">
        <v>6828.8</v>
      </c>
      <c r="M222" s="33">
        <v>6828.8</v>
      </c>
      <c r="N222" s="34">
        <v>44369</v>
      </c>
      <c r="O222" s="26"/>
      <c r="P222" s="26"/>
      <c r="Q222" s="26"/>
      <c r="R222" s="26"/>
      <c r="S222" s="36" t="s">
        <v>452</v>
      </c>
    </row>
    <row r="223" spans="1:19">
      <c r="A223" s="25">
        <v>221</v>
      </c>
      <c r="B223" s="25" t="s">
        <v>483</v>
      </c>
      <c r="C223" s="25" t="s">
        <v>696</v>
      </c>
      <c r="D223" s="25" t="s">
        <v>441</v>
      </c>
      <c r="E223" s="26" t="s">
        <v>26</v>
      </c>
      <c r="F223" s="26" t="s">
        <v>698</v>
      </c>
      <c r="G223" s="25" t="s">
        <v>411</v>
      </c>
      <c r="H223" s="26">
        <v>6</v>
      </c>
      <c r="I223" s="26"/>
      <c r="J223" s="26"/>
      <c r="K223" s="36" t="s">
        <v>447</v>
      </c>
      <c r="L223" s="33">
        <v>6758.4</v>
      </c>
      <c r="M223" s="33">
        <v>6758.4</v>
      </c>
      <c r="N223" s="34">
        <v>44369</v>
      </c>
      <c r="O223" s="26"/>
      <c r="P223" s="26"/>
      <c r="Q223" s="26"/>
      <c r="R223" s="26"/>
      <c r="S223" s="36" t="s">
        <v>452</v>
      </c>
    </row>
    <row r="224" spans="1:19">
      <c r="A224" s="27">
        <v>222</v>
      </c>
      <c r="B224" s="25" t="s">
        <v>574</v>
      </c>
      <c r="C224" s="25" t="s">
        <v>696</v>
      </c>
      <c r="D224" s="25" t="s">
        <v>441</v>
      </c>
      <c r="E224" s="26" t="s">
        <v>54</v>
      </c>
      <c r="F224" s="26" t="s">
        <v>698</v>
      </c>
      <c r="G224" s="25" t="s">
        <v>422</v>
      </c>
      <c r="H224" s="26">
        <v>2</v>
      </c>
      <c r="I224" s="26"/>
      <c r="J224" s="26"/>
      <c r="K224" s="36"/>
      <c r="L224" s="33">
        <v>5560.33333333333</v>
      </c>
      <c r="M224" s="33">
        <v>5560.33333333333</v>
      </c>
      <c r="N224" s="34">
        <v>44369</v>
      </c>
      <c r="O224" s="34">
        <v>44372</v>
      </c>
      <c r="P224" s="26"/>
      <c r="Q224" s="26"/>
      <c r="R224" s="26"/>
      <c r="S224" s="36"/>
    </row>
    <row r="225" spans="1:19">
      <c r="A225" s="25">
        <v>223</v>
      </c>
      <c r="B225" s="25" t="s">
        <v>466</v>
      </c>
      <c r="C225" s="25" t="s">
        <v>696</v>
      </c>
      <c r="D225" s="25" t="s">
        <v>441</v>
      </c>
      <c r="E225" s="26" t="s">
        <v>26</v>
      </c>
      <c r="F225" s="26" t="s">
        <v>698</v>
      </c>
      <c r="G225" s="25" t="s">
        <v>411</v>
      </c>
      <c r="H225" s="26">
        <v>2</v>
      </c>
      <c r="I225" s="26"/>
      <c r="J225" s="26"/>
      <c r="K225" s="32" t="s">
        <v>447</v>
      </c>
      <c r="L225" s="33">
        <v>5541.66666666667</v>
      </c>
      <c r="M225" s="33">
        <v>5541.66666666667</v>
      </c>
      <c r="N225" s="34">
        <v>44369</v>
      </c>
      <c r="O225" s="26"/>
      <c r="P225" s="26"/>
      <c r="Q225" s="26"/>
      <c r="R225" s="26"/>
      <c r="S225" s="36" t="s">
        <v>467</v>
      </c>
    </row>
    <row r="226" spans="1:19">
      <c r="A226" s="27">
        <v>224</v>
      </c>
      <c r="B226" s="25" t="s">
        <v>476</v>
      </c>
      <c r="C226" s="25" t="s">
        <v>696</v>
      </c>
      <c r="D226" s="25" t="s">
        <v>441</v>
      </c>
      <c r="E226" s="26" t="s">
        <v>26</v>
      </c>
      <c r="F226" s="26" t="s">
        <v>698</v>
      </c>
      <c r="G226" s="25" t="s">
        <v>411</v>
      </c>
      <c r="H226" s="26">
        <v>2</v>
      </c>
      <c r="I226" s="26"/>
      <c r="J226" s="26"/>
      <c r="K226" s="36" t="s">
        <v>827</v>
      </c>
      <c r="L226" s="33">
        <v>9752</v>
      </c>
      <c r="M226" s="33">
        <v>5541.66666666667</v>
      </c>
      <c r="N226" s="34">
        <v>44369</v>
      </c>
      <c r="O226" s="26"/>
      <c r="P226" s="26"/>
      <c r="Q226" s="26"/>
      <c r="R226" s="26"/>
      <c r="S226" s="36"/>
    </row>
    <row r="227" spans="1:19">
      <c r="A227" s="25">
        <v>225</v>
      </c>
      <c r="B227" s="25" t="s">
        <v>539</v>
      </c>
      <c r="C227" s="25" t="s">
        <v>696</v>
      </c>
      <c r="D227" s="25" t="s">
        <v>414</v>
      </c>
      <c r="E227" s="26" t="s">
        <v>56</v>
      </c>
      <c r="F227" s="26" t="s">
        <v>229</v>
      </c>
      <c r="G227" s="25" t="s">
        <v>411</v>
      </c>
      <c r="H227" s="26">
        <v>2</v>
      </c>
      <c r="I227" s="26"/>
      <c r="J227" s="26"/>
      <c r="K227" s="36" t="s">
        <v>401</v>
      </c>
      <c r="L227" s="33">
        <v>30998.3333333333</v>
      </c>
      <c r="M227" s="33">
        <v>30998.3333333333</v>
      </c>
      <c r="N227" s="34">
        <v>44369</v>
      </c>
      <c r="O227" s="26"/>
      <c r="P227" s="26"/>
      <c r="Q227" s="26"/>
      <c r="R227" s="26"/>
      <c r="S227" s="36" t="s">
        <v>452</v>
      </c>
    </row>
    <row r="228" spans="1:19">
      <c r="A228" s="27">
        <v>226</v>
      </c>
      <c r="B228" s="25" t="s">
        <v>509</v>
      </c>
      <c r="C228" s="25" t="s">
        <v>696</v>
      </c>
      <c r="D228" s="25" t="s">
        <v>414</v>
      </c>
      <c r="E228" s="26" t="s">
        <v>54</v>
      </c>
      <c r="F228" s="26" t="s">
        <v>229</v>
      </c>
      <c r="G228" s="25" t="s">
        <v>411</v>
      </c>
      <c r="H228" s="26">
        <v>2</v>
      </c>
      <c r="I228" s="26"/>
      <c r="J228" s="26"/>
      <c r="K228" s="36" t="s">
        <v>401</v>
      </c>
      <c r="L228" s="33">
        <v>26413.3333333333</v>
      </c>
      <c r="M228" s="33">
        <v>26413.3333333333</v>
      </c>
      <c r="N228" s="34">
        <v>44369</v>
      </c>
      <c r="O228" s="26"/>
      <c r="P228" s="26"/>
      <c r="Q228" s="26"/>
      <c r="R228" s="26"/>
      <c r="S228" s="36" t="s">
        <v>828</v>
      </c>
    </row>
    <row r="229" spans="1:19">
      <c r="A229" s="25">
        <v>227</v>
      </c>
      <c r="B229" s="25" t="s">
        <v>469</v>
      </c>
      <c r="C229" s="25" t="s">
        <v>696</v>
      </c>
      <c r="D229" s="25" t="s">
        <v>414</v>
      </c>
      <c r="E229" s="26" t="s">
        <v>26</v>
      </c>
      <c r="F229" s="26" t="s">
        <v>757</v>
      </c>
      <c r="G229" s="25" t="s">
        <v>411</v>
      </c>
      <c r="H229" s="26">
        <v>2</v>
      </c>
      <c r="I229" s="26"/>
      <c r="J229" s="26"/>
      <c r="K229" s="32" t="s">
        <v>829</v>
      </c>
      <c r="L229" s="33">
        <v>19503</v>
      </c>
      <c r="M229" s="33">
        <v>19503</v>
      </c>
      <c r="N229" s="34">
        <v>44369</v>
      </c>
      <c r="O229" s="26"/>
      <c r="P229" s="26"/>
      <c r="Q229" s="26"/>
      <c r="R229" s="26"/>
      <c r="S229" s="36" t="s">
        <v>452</v>
      </c>
    </row>
    <row r="230" spans="1:19">
      <c r="A230" s="27">
        <v>228</v>
      </c>
      <c r="B230" s="25" t="s">
        <v>533</v>
      </c>
      <c r="C230" s="25" t="s">
        <v>696</v>
      </c>
      <c r="D230" s="25" t="s">
        <v>414</v>
      </c>
      <c r="E230" s="26" t="s">
        <v>50</v>
      </c>
      <c r="F230" s="26" t="s">
        <v>229</v>
      </c>
      <c r="G230" s="25" t="s">
        <v>411</v>
      </c>
      <c r="H230" s="26">
        <v>1</v>
      </c>
      <c r="I230" s="26"/>
      <c r="J230" s="26"/>
      <c r="K230" s="36" t="s">
        <v>693</v>
      </c>
      <c r="L230" s="33">
        <v>18425.9333333333</v>
      </c>
      <c r="M230" s="33">
        <v>18425.9333333333</v>
      </c>
      <c r="N230" s="34">
        <v>44369</v>
      </c>
      <c r="O230" s="26"/>
      <c r="P230" s="26"/>
      <c r="Q230" s="26"/>
      <c r="R230" s="26"/>
      <c r="S230" s="36" t="s">
        <v>763</v>
      </c>
    </row>
    <row r="231" spans="1:19">
      <c r="A231" s="25">
        <v>229</v>
      </c>
      <c r="B231" s="25" t="s">
        <v>536</v>
      </c>
      <c r="C231" s="25" t="s">
        <v>696</v>
      </c>
      <c r="D231" s="25" t="s">
        <v>414</v>
      </c>
      <c r="E231" s="26" t="s">
        <v>56</v>
      </c>
      <c r="F231" s="26" t="s">
        <v>229</v>
      </c>
      <c r="G231" s="25" t="s">
        <v>411</v>
      </c>
      <c r="H231" s="26">
        <v>1</v>
      </c>
      <c r="I231" s="26"/>
      <c r="J231" s="26"/>
      <c r="K231" s="36" t="s">
        <v>401</v>
      </c>
      <c r="L231" s="33">
        <v>13034.5666666667</v>
      </c>
      <c r="M231" s="33">
        <v>13034.5666666667</v>
      </c>
      <c r="N231" s="34">
        <v>44369</v>
      </c>
      <c r="O231" s="26"/>
      <c r="P231" s="26"/>
      <c r="Q231" s="26"/>
      <c r="R231" s="26"/>
      <c r="S231" s="36" t="s">
        <v>452</v>
      </c>
    </row>
    <row r="232" spans="1:19">
      <c r="A232" s="27">
        <v>230</v>
      </c>
      <c r="B232" s="25" t="s">
        <v>446</v>
      </c>
      <c r="C232" s="25" t="s">
        <v>696</v>
      </c>
      <c r="D232" s="25" t="s">
        <v>414</v>
      </c>
      <c r="E232" s="26" t="s">
        <v>35</v>
      </c>
      <c r="F232" s="26" t="s">
        <v>229</v>
      </c>
      <c r="G232" s="25" t="s">
        <v>411</v>
      </c>
      <c r="H232" s="26">
        <v>2</v>
      </c>
      <c r="I232" s="26"/>
      <c r="J232" s="26"/>
      <c r="K232" s="32" t="s">
        <v>447</v>
      </c>
      <c r="L232" s="33">
        <v>7550.53333333334</v>
      </c>
      <c r="M232" s="33">
        <v>7550.5</v>
      </c>
      <c r="N232" s="34">
        <v>44371</v>
      </c>
      <c r="O232" s="26"/>
      <c r="P232" s="26"/>
      <c r="Q232" s="26"/>
      <c r="R232" s="26"/>
      <c r="S232" s="36" t="s">
        <v>452</v>
      </c>
    </row>
    <row r="233" spans="1:19">
      <c r="A233" s="25">
        <v>231</v>
      </c>
      <c r="B233" s="25" t="s">
        <v>830</v>
      </c>
      <c r="C233" s="25" t="s">
        <v>696</v>
      </c>
      <c r="D233" s="25" t="s">
        <v>414</v>
      </c>
      <c r="E233" s="26" t="s">
        <v>54</v>
      </c>
      <c r="F233" s="26" t="s">
        <v>229</v>
      </c>
      <c r="G233" s="25" t="s">
        <v>491</v>
      </c>
      <c r="H233" s="26">
        <v>2</v>
      </c>
      <c r="I233" s="26"/>
      <c r="J233" s="26"/>
      <c r="K233" s="36" t="s">
        <v>693</v>
      </c>
      <c r="L233" s="33">
        <v>7244.6</v>
      </c>
      <c r="M233" s="33">
        <v>7244.58333333333</v>
      </c>
      <c r="N233" s="34">
        <v>44369</v>
      </c>
      <c r="O233" s="35">
        <v>44375</v>
      </c>
      <c r="P233" s="26"/>
      <c r="Q233" s="26"/>
      <c r="R233" s="26" t="s">
        <v>722</v>
      </c>
      <c r="S233" s="36" t="s">
        <v>831</v>
      </c>
    </row>
    <row r="234" spans="1:19">
      <c r="A234" s="27">
        <v>232</v>
      </c>
      <c r="B234" s="25" t="s">
        <v>473</v>
      </c>
      <c r="C234" s="25" t="s">
        <v>696</v>
      </c>
      <c r="D234" s="25" t="s">
        <v>414</v>
      </c>
      <c r="E234" s="26" t="s">
        <v>26</v>
      </c>
      <c r="F234" s="26" t="s">
        <v>757</v>
      </c>
      <c r="G234" s="25" t="s">
        <v>411</v>
      </c>
      <c r="H234" s="26">
        <v>2</v>
      </c>
      <c r="I234" s="26"/>
      <c r="J234" s="26"/>
      <c r="K234" s="32" t="s">
        <v>829</v>
      </c>
      <c r="L234" s="33">
        <v>6781.66666666666</v>
      </c>
      <c r="M234" s="33">
        <v>6781.66666666666</v>
      </c>
      <c r="N234" s="34">
        <v>44369</v>
      </c>
      <c r="O234" s="26"/>
      <c r="P234" s="26"/>
      <c r="Q234" s="26"/>
      <c r="R234" s="26"/>
      <c r="S234" s="36" t="s">
        <v>452</v>
      </c>
    </row>
    <row r="235" spans="1:19">
      <c r="A235" s="25">
        <v>233</v>
      </c>
      <c r="B235" s="25" t="s">
        <v>507</v>
      </c>
      <c r="C235" s="25" t="s">
        <v>696</v>
      </c>
      <c r="D235" s="25" t="s">
        <v>414</v>
      </c>
      <c r="E235" s="26" t="s">
        <v>54</v>
      </c>
      <c r="F235" s="26" t="s">
        <v>757</v>
      </c>
      <c r="G235" s="25" t="s">
        <v>411</v>
      </c>
      <c r="H235" s="26">
        <v>4</v>
      </c>
      <c r="I235" s="26"/>
      <c r="J235" s="26"/>
      <c r="K235" s="36" t="s">
        <v>401</v>
      </c>
      <c r="L235" s="33">
        <v>6183.33333333333</v>
      </c>
      <c r="M235" s="33">
        <v>6183.33333333333</v>
      </c>
      <c r="N235" s="34">
        <v>44371</v>
      </c>
      <c r="O235" s="26"/>
      <c r="P235" s="26"/>
      <c r="Q235" s="26"/>
      <c r="R235" s="26"/>
      <c r="S235" s="36"/>
    </row>
    <row r="236" spans="1:19">
      <c r="A236" s="27">
        <v>234</v>
      </c>
      <c r="B236" s="25" t="s">
        <v>534</v>
      </c>
      <c r="C236" s="25" t="s">
        <v>696</v>
      </c>
      <c r="D236" s="25" t="s">
        <v>414</v>
      </c>
      <c r="E236" s="26" t="s">
        <v>56</v>
      </c>
      <c r="F236" s="26" t="s">
        <v>229</v>
      </c>
      <c r="G236" s="25" t="s">
        <v>411</v>
      </c>
      <c r="H236" s="26">
        <v>1</v>
      </c>
      <c r="I236" s="26"/>
      <c r="J236" s="26"/>
      <c r="K236" s="36" t="s">
        <v>401</v>
      </c>
      <c r="L236" s="33">
        <v>5756.66666666666</v>
      </c>
      <c r="M236" s="33">
        <v>5756.66666666666</v>
      </c>
      <c r="N236" s="34">
        <v>44369</v>
      </c>
      <c r="O236" s="26"/>
      <c r="P236" s="26"/>
      <c r="Q236" s="26"/>
      <c r="R236" s="26"/>
      <c r="S236" s="36"/>
    </row>
    <row r="237" spans="1:19">
      <c r="A237" s="25">
        <v>235</v>
      </c>
      <c r="B237" s="25" t="s">
        <v>488</v>
      </c>
      <c r="C237" s="25" t="s">
        <v>696</v>
      </c>
      <c r="D237" s="25" t="s">
        <v>441</v>
      </c>
      <c r="E237" s="26" t="s">
        <v>26</v>
      </c>
      <c r="F237" s="26" t="s">
        <v>229</v>
      </c>
      <c r="G237" s="25" t="s">
        <v>411</v>
      </c>
      <c r="H237" s="26">
        <v>2</v>
      </c>
      <c r="I237" s="26">
        <v>160</v>
      </c>
      <c r="J237" s="26"/>
      <c r="K237" s="36" t="s">
        <v>401</v>
      </c>
      <c r="L237" s="33">
        <v>0</v>
      </c>
      <c r="M237" s="33">
        <v>10000</v>
      </c>
      <c r="N237" s="34">
        <v>44371</v>
      </c>
      <c r="O237" s="26"/>
      <c r="P237" s="26"/>
      <c r="Q237" s="26"/>
      <c r="R237" s="26"/>
      <c r="S237" s="36"/>
    </row>
    <row r="238" spans="1:19">
      <c r="A238" s="27">
        <v>236</v>
      </c>
      <c r="B238" s="25" t="s">
        <v>489</v>
      </c>
      <c r="C238" s="25" t="s">
        <v>696</v>
      </c>
      <c r="D238" s="25" t="s">
        <v>441</v>
      </c>
      <c r="E238" s="26" t="s">
        <v>26</v>
      </c>
      <c r="F238" s="26" t="s">
        <v>229</v>
      </c>
      <c r="G238" s="25" t="s">
        <v>411</v>
      </c>
      <c r="H238" s="26">
        <v>2</v>
      </c>
      <c r="I238" s="26">
        <v>160</v>
      </c>
      <c r="J238" s="26"/>
      <c r="K238" s="36" t="s">
        <v>401</v>
      </c>
      <c r="L238" s="33">
        <v>0</v>
      </c>
      <c r="M238" s="33">
        <v>8750</v>
      </c>
      <c r="N238" s="34">
        <v>44371</v>
      </c>
      <c r="O238" s="26"/>
      <c r="P238" s="26"/>
      <c r="Q238" s="26"/>
      <c r="R238" s="26"/>
      <c r="S238" s="36"/>
    </row>
    <row r="239" spans="1:19">
      <c r="A239" s="25">
        <v>237</v>
      </c>
      <c r="B239" s="25" t="s">
        <v>484</v>
      </c>
      <c r="C239" s="25" t="s">
        <v>696</v>
      </c>
      <c r="D239" s="25" t="s">
        <v>441</v>
      </c>
      <c r="E239" s="26" t="s">
        <v>26</v>
      </c>
      <c r="F239" s="26" t="s">
        <v>832</v>
      </c>
      <c r="G239" s="25" t="s">
        <v>422</v>
      </c>
      <c r="H239" s="26"/>
      <c r="I239" s="26"/>
      <c r="J239" s="26"/>
      <c r="K239" s="36"/>
      <c r="L239" s="33">
        <v>36724.8</v>
      </c>
      <c r="M239" s="33">
        <v>36724.8</v>
      </c>
      <c r="N239" s="34">
        <v>44371</v>
      </c>
      <c r="O239" s="34">
        <v>44376</v>
      </c>
      <c r="P239" s="26"/>
      <c r="Q239" s="26"/>
      <c r="R239" s="26"/>
      <c r="S239" s="36"/>
    </row>
    <row r="240" spans="1:19">
      <c r="A240" s="27">
        <v>238</v>
      </c>
      <c r="B240" s="25" t="s">
        <v>522</v>
      </c>
      <c r="C240" s="25" t="s">
        <v>696</v>
      </c>
      <c r="D240" s="25" t="s">
        <v>441</v>
      </c>
      <c r="E240" s="26" t="s">
        <v>54</v>
      </c>
      <c r="F240" s="26" t="s">
        <v>229</v>
      </c>
      <c r="G240" s="25" t="s">
        <v>422</v>
      </c>
      <c r="H240" s="26"/>
      <c r="I240" s="26"/>
      <c r="J240" s="26"/>
      <c r="K240" s="36"/>
      <c r="L240" s="33">
        <v>17406</v>
      </c>
      <c r="M240" s="33">
        <v>17406</v>
      </c>
      <c r="N240" s="34">
        <v>44371</v>
      </c>
      <c r="O240" s="34">
        <v>44376</v>
      </c>
      <c r="P240" s="26"/>
      <c r="Q240" s="26"/>
      <c r="R240" s="26"/>
      <c r="S240" s="36"/>
    </row>
    <row r="241" spans="1:19">
      <c r="A241" s="25">
        <v>239</v>
      </c>
      <c r="B241" s="25" t="s">
        <v>456</v>
      </c>
      <c r="C241" s="25" t="s">
        <v>696</v>
      </c>
      <c r="D241" s="25" t="s">
        <v>441</v>
      </c>
      <c r="E241" s="26" t="s">
        <v>33</v>
      </c>
      <c r="F241" s="26" t="s">
        <v>229</v>
      </c>
      <c r="G241" s="25" t="s">
        <v>411</v>
      </c>
      <c r="H241" s="26"/>
      <c r="I241" s="26"/>
      <c r="J241" s="26"/>
      <c r="K241" s="36" t="s">
        <v>693</v>
      </c>
      <c r="L241" s="33">
        <v>16402</v>
      </c>
      <c r="M241" s="33">
        <v>16402</v>
      </c>
      <c r="N241" s="34">
        <v>44371</v>
      </c>
      <c r="O241" s="26"/>
      <c r="P241" s="26"/>
      <c r="Q241" s="26"/>
      <c r="R241" s="26"/>
      <c r="S241" s="32" t="s">
        <v>457</v>
      </c>
    </row>
    <row r="242" spans="1:19">
      <c r="A242" s="27">
        <v>240</v>
      </c>
      <c r="B242" s="25" t="s">
        <v>486</v>
      </c>
      <c r="C242" s="25" t="s">
        <v>696</v>
      </c>
      <c r="D242" s="25" t="s">
        <v>441</v>
      </c>
      <c r="E242" s="26" t="s">
        <v>26</v>
      </c>
      <c r="F242" s="26" t="s">
        <v>833</v>
      </c>
      <c r="G242" s="25" t="s">
        <v>422</v>
      </c>
      <c r="H242" s="26"/>
      <c r="I242" s="26"/>
      <c r="J242" s="26"/>
      <c r="K242" s="36"/>
      <c r="L242" s="33">
        <v>15403.3333333333</v>
      </c>
      <c r="M242" s="33">
        <v>15403.3333333333</v>
      </c>
      <c r="N242" s="34">
        <v>44371</v>
      </c>
      <c r="O242" s="34">
        <v>44376</v>
      </c>
      <c r="P242" s="26"/>
      <c r="Q242" s="26"/>
      <c r="R242" s="26"/>
      <c r="S242" s="36"/>
    </row>
    <row r="243" spans="1:19">
      <c r="A243" s="25">
        <v>241</v>
      </c>
      <c r="B243" s="25" t="s">
        <v>479</v>
      </c>
      <c r="C243" s="25" t="s">
        <v>696</v>
      </c>
      <c r="D243" s="25" t="s">
        <v>441</v>
      </c>
      <c r="E243" s="26" t="s">
        <v>26</v>
      </c>
      <c r="F243" s="26" t="s">
        <v>833</v>
      </c>
      <c r="G243" s="25" t="s">
        <v>422</v>
      </c>
      <c r="H243" s="26"/>
      <c r="I243" s="26"/>
      <c r="J243" s="26"/>
      <c r="K243" s="36" t="s">
        <v>401</v>
      </c>
      <c r="L243" s="33">
        <v>12080</v>
      </c>
      <c r="M243" s="33">
        <v>12080</v>
      </c>
      <c r="N243" s="34">
        <v>44371</v>
      </c>
      <c r="O243" s="34">
        <v>44376</v>
      </c>
      <c r="P243" s="26"/>
      <c r="Q243" s="26"/>
      <c r="R243" s="26"/>
      <c r="S243" s="36" t="s">
        <v>834</v>
      </c>
    </row>
    <row r="244" spans="1:19">
      <c r="A244" s="27">
        <v>242</v>
      </c>
      <c r="B244" s="25" t="s">
        <v>518</v>
      </c>
      <c r="C244" s="25" t="s">
        <v>696</v>
      </c>
      <c r="D244" s="25" t="s">
        <v>441</v>
      </c>
      <c r="E244" s="26" t="s">
        <v>54</v>
      </c>
      <c r="F244" s="26" t="s">
        <v>229</v>
      </c>
      <c r="G244" s="25" t="s">
        <v>422</v>
      </c>
      <c r="H244" s="26"/>
      <c r="I244" s="26"/>
      <c r="J244" s="26"/>
      <c r="K244" s="36"/>
      <c r="L244" s="33">
        <v>10600</v>
      </c>
      <c r="M244" s="33">
        <v>10600</v>
      </c>
      <c r="N244" s="34">
        <v>44371</v>
      </c>
      <c r="O244" s="35">
        <v>44376</v>
      </c>
      <c r="P244" s="26"/>
      <c r="Q244" s="26"/>
      <c r="R244" s="26"/>
      <c r="S244" s="36"/>
    </row>
    <row r="245" spans="1:19">
      <c r="A245" s="25">
        <v>243</v>
      </c>
      <c r="B245" s="25" t="s">
        <v>470</v>
      </c>
      <c r="C245" s="25" t="s">
        <v>696</v>
      </c>
      <c r="D245" s="25" t="s">
        <v>441</v>
      </c>
      <c r="E245" s="26" t="s">
        <v>26</v>
      </c>
      <c r="F245" s="26" t="s">
        <v>832</v>
      </c>
      <c r="G245" s="25" t="s">
        <v>411</v>
      </c>
      <c r="H245" s="26"/>
      <c r="I245" s="26"/>
      <c r="J245" s="26"/>
      <c r="K245" s="32" t="s">
        <v>447</v>
      </c>
      <c r="L245" s="33">
        <v>5852.4</v>
      </c>
      <c r="M245" s="33">
        <v>5598.4</v>
      </c>
      <c r="N245" s="34">
        <v>44371</v>
      </c>
      <c r="O245" s="26"/>
      <c r="P245" s="26"/>
      <c r="Q245" s="26"/>
      <c r="R245" s="26"/>
      <c r="S245" s="36" t="s">
        <v>467</v>
      </c>
    </row>
    <row r="246" spans="1:19">
      <c r="A246" s="27">
        <v>244</v>
      </c>
      <c r="B246" s="25" t="s">
        <v>471</v>
      </c>
      <c r="C246" s="25" t="s">
        <v>696</v>
      </c>
      <c r="D246" s="25" t="s">
        <v>441</v>
      </c>
      <c r="E246" s="26" t="s">
        <v>26</v>
      </c>
      <c r="F246" s="26" t="s">
        <v>833</v>
      </c>
      <c r="G246" s="25" t="s">
        <v>422</v>
      </c>
      <c r="H246" s="26"/>
      <c r="I246" s="26"/>
      <c r="J246" s="26"/>
      <c r="K246" s="36"/>
      <c r="L246" s="33">
        <v>5798.4</v>
      </c>
      <c r="M246" s="33">
        <v>5598.4</v>
      </c>
      <c r="N246" s="34">
        <v>44371</v>
      </c>
      <c r="O246" s="34">
        <v>44376</v>
      </c>
      <c r="P246" s="26"/>
      <c r="Q246" s="26"/>
      <c r="R246" s="26"/>
      <c r="S246" s="36"/>
    </row>
    <row r="247" spans="1:19">
      <c r="A247" s="25">
        <v>245</v>
      </c>
      <c r="B247" s="25" t="s">
        <v>451</v>
      </c>
      <c r="C247" s="25" t="s">
        <v>696</v>
      </c>
      <c r="D247" s="25" t="s">
        <v>441</v>
      </c>
      <c r="E247" s="26" t="s">
        <v>35</v>
      </c>
      <c r="F247" s="26" t="s">
        <v>833</v>
      </c>
      <c r="G247" s="25" t="s">
        <v>411</v>
      </c>
      <c r="H247" s="26"/>
      <c r="I247" s="26"/>
      <c r="J247" s="26"/>
      <c r="K247" s="36" t="s">
        <v>401</v>
      </c>
      <c r="L247" s="33">
        <v>5000</v>
      </c>
      <c r="M247" s="33">
        <v>5000</v>
      </c>
      <c r="N247" s="34">
        <v>44371</v>
      </c>
      <c r="O247" s="26"/>
      <c r="P247" s="26"/>
      <c r="Q247" s="26"/>
      <c r="R247" s="26"/>
      <c r="S247" s="36" t="s">
        <v>452</v>
      </c>
    </row>
    <row r="248" spans="1:19">
      <c r="A248" s="27">
        <v>246</v>
      </c>
      <c r="B248" s="25" t="s">
        <v>481</v>
      </c>
      <c r="C248" s="25" t="s">
        <v>696</v>
      </c>
      <c r="D248" s="25" t="s">
        <v>441</v>
      </c>
      <c r="E248" s="26" t="s">
        <v>26</v>
      </c>
      <c r="F248" s="26" t="s">
        <v>229</v>
      </c>
      <c r="G248" s="25" t="s">
        <v>422</v>
      </c>
      <c r="H248" s="26"/>
      <c r="I248" s="26"/>
      <c r="J248" s="26"/>
      <c r="K248" s="36"/>
      <c r="L248" s="33">
        <v>5663</v>
      </c>
      <c r="M248" s="33">
        <v>5000</v>
      </c>
      <c r="N248" s="34">
        <v>44371</v>
      </c>
      <c r="O248" s="34">
        <v>44376</v>
      </c>
      <c r="P248" s="26"/>
      <c r="Q248" s="26"/>
      <c r="R248" s="26"/>
      <c r="S248" s="36"/>
    </row>
    <row r="249" spans="1:19">
      <c r="A249" s="25">
        <v>247</v>
      </c>
      <c r="B249" s="25" t="s">
        <v>560</v>
      </c>
      <c r="C249" s="25" t="s">
        <v>696</v>
      </c>
      <c r="D249" s="25" t="s">
        <v>414</v>
      </c>
      <c r="E249" s="26" t="s">
        <v>19</v>
      </c>
      <c r="F249" s="26" t="s">
        <v>229</v>
      </c>
      <c r="G249" s="25" t="s">
        <v>411</v>
      </c>
      <c r="H249" s="26"/>
      <c r="I249" s="26"/>
      <c r="J249" s="26"/>
      <c r="K249" s="36" t="s">
        <v>401</v>
      </c>
      <c r="L249" s="33">
        <v>11994.6666666667</v>
      </c>
      <c r="M249" s="33">
        <v>11995</v>
      </c>
      <c r="N249" s="34">
        <v>44371</v>
      </c>
      <c r="O249" s="26"/>
      <c r="P249" s="26"/>
      <c r="Q249" s="26"/>
      <c r="R249" s="26"/>
      <c r="S249" s="36" t="s">
        <v>39</v>
      </c>
    </row>
    <row r="250" spans="1:19">
      <c r="A250" s="27">
        <v>248</v>
      </c>
      <c r="B250" s="25" t="s">
        <v>537</v>
      </c>
      <c r="C250" s="25" t="s">
        <v>696</v>
      </c>
      <c r="D250" s="25" t="s">
        <v>414</v>
      </c>
      <c r="E250" s="26" t="s">
        <v>56</v>
      </c>
      <c r="F250" s="26" t="s">
        <v>835</v>
      </c>
      <c r="G250" s="25" t="s">
        <v>411</v>
      </c>
      <c r="H250" s="26"/>
      <c r="I250" s="26"/>
      <c r="J250" s="26"/>
      <c r="K250" s="36" t="s">
        <v>401</v>
      </c>
      <c r="L250" s="33">
        <v>33555.9666666667</v>
      </c>
      <c r="M250" s="33">
        <v>33555.9666666667</v>
      </c>
      <c r="N250" s="34">
        <v>44371</v>
      </c>
      <c r="O250" s="26"/>
      <c r="P250" s="26"/>
      <c r="Q250" s="26"/>
      <c r="R250" s="26"/>
      <c r="S250" s="36" t="s">
        <v>836</v>
      </c>
    </row>
    <row r="251" spans="1:19">
      <c r="A251" s="25">
        <v>249</v>
      </c>
      <c r="B251" s="25" t="s">
        <v>482</v>
      </c>
      <c r="C251" s="25" t="s">
        <v>696</v>
      </c>
      <c r="D251" s="25" t="s">
        <v>414</v>
      </c>
      <c r="E251" s="26" t="s">
        <v>26</v>
      </c>
      <c r="F251" s="26" t="s">
        <v>837</v>
      </c>
      <c r="G251" s="25" t="s">
        <v>411</v>
      </c>
      <c r="H251" s="26"/>
      <c r="I251" s="26"/>
      <c r="J251" s="26"/>
      <c r="K251" s="36" t="s">
        <v>401</v>
      </c>
      <c r="L251" s="33">
        <v>11742</v>
      </c>
      <c r="M251" s="33">
        <v>11742</v>
      </c>
      <c r="N251" s="34">
        <v>44371</v>
      </c>
      <c r="O251" s="26"/>
      <c r="P251" s="26"/>
      <c r="Q251" s="26"/>
      <c r="R251" s="26"/>
      <c r="S251" s="36" t="s">
        <v>838</v>
      </c>
    </row>
    <row r="252" spans="1:19">
      <c r="A252" s="27">
        <v>250</v>
      </c>
      <c r="B252" s="25" t="s">
        <v>500</v>
      </c>
      <c r="C252" s="25" t="s">
        <v>696</v>
      </c>
      <c r="D252" s="25" t="s">
        <v>414</v>
      </c>
      <c r="E252" s="26" t="s">
        <v>54</v>
      </c>
      <c r="F252" s="26" t="s">
        <v>837</v>
      </c>
      <c r="G252" s="25" t="s">
        <v>411</v>
      </c>
      <c r="H252" s="26"/>
      <c r="I252" s="26"/>
      <c r="J252" s="26"/>
      <c r="K252" s="36" t="s">
        <v>693</v>
      </c>
      <c r="L252" s="33">
        <v>11375.1666666667</v>
      </c>
      <c r="M252" s="33">
        <v>11375.1666666667</v>
      </c>
      <c r="N252" s="34">
        <v>44371</v>
      </c>
      <c r="O252" s="26"/>
      <c r="P252" s="26"/>
      <c r="Q252" s="26"/>
      <c r="R252" s="26"/>
      <c r="S252" s="36"/>
    </row>
    <row r="253" spans="1:19">
      <c r="A253" s="25">
        <v>251</v>
      </c>
      <c r="B253" s="25" t="s">
        <v>477</v>
      </c>
      <c r="C253" s="25" t="s">
        <v>696</v>
      </c>
      <c r="D253" s="25" t="s">
        <v>414</v>
      </c>
      <c r="E253" s="26" t="s">
        <v>26</v>
      </c>
      <c r="F253" s="26" t="s">
        <v>256</v>
      </c>
      <c r="G253" s="25" t="s">
        <v>411</v>
      </c>
      <c r="H253" s="26"/>
      <c r="I253" s="26"/>
      <c r="J253" s="26"/>
      <c r="K253" s="36" t="s">
        <v>447</v>
      </c>
      <c r="L253" s="33">
        <v>9298.8</v>
      </c>
      <c r="M253" s="33">
        <v>9298.8</v>
      </c>
      <c r="N253" s="34">
        <v>44371</v>
      </c>
      <c r="O253" s="26"/>
      <c r="P253" s="26"/>
      <c r="Q253" s="26"/>
      <c r="R253" s="26"/>
      <c r="S253" s="36" t="s">
        <v>836</v>
      </c>
    </row>
    <row r="254" spans="1:19">
      <c r="A254" s="27">
        <v>252</v>
      </c>
      <c r="B254" s="25" t="s">
        <v>510</v>
      </c>
      <c r="C254" s="25" t="s">
        <v>696</v>
      </c>
      <c r="D254" s="25" t="s">
        <v>414</v>
      </c>
      <c r="E254" s="26" t="s">
        <v>54</v>
      </c>
      <c r="F254" s="26" t="s">
        <v>757</v>
      </c>
      <c r="G254" s="25" t="s">
        <v>411</v>
      </c>
      <c r="H254" s="26"/>
      <c r="I254" s="26"/>
      <c r="J254" s="26"/>
      <c r="K254" s="36" t="s">
        <v>693</v>
      </c>
      <c r="L254" s="33">
        <v>7666.4</v>
      </c>
      <c r="M254" s="33">
        <v>7666.4</v>
      </c>
      <c r="N254" s="34">
        <v>44371</v>
      </c>
      <c r="O254" s="26"/>
      <c r="P254" s="26"/>
      <c r="Q254" s="26"/>
      <c r="R254" s="26"/>
      <c r="S254" s="36"/>
    </row>
    <row r="255" spans="1:19">
      <c r="A255" s="25">
        <v>253</v>
      </c>
      <c r="B255" s="25" t="s">
        <v>505</v>
      </c>
      <c r="C255" s="25" t="s">
        <v>696</v>
      </c>
      <c r="D255" s="25" t="s">
        <v>414</v>
      </c>
      <c r="E255" s="26" t="s">
        <v>54</v>
      </c>
      <c r="F255" s="26" t="s">
        <v>837</v>
      </c>
      <c r="G255" s="25" t="s">
        <v>411</v>
      </c>
      <c r="H255" s="26"/>
      <c r="I255" s="26"/>
      <c r="J255" s="26"/>
      <c r="K255" s="36" t="s">
        <v>693</v>
      </c>
      <c r="L255" s="33">
        <v>5657.6</v>
      </c>
      <c r="M255" s="33">
        <v>5657.6</v>
      </c>
      <c r="N255" s="34">
        <v>44371</v>
      </c>
      <c r="O255" s="26"/>
      <c r="P255" s="26"/>
      <c r="Q255" s="26"/>
      <c r="R255" s="26"/>
      <c r="S255" s="36"/>
    </row>
    <row r="256" spans="1:19">
      <c r="A256" s="27">
        <v>254</v>
      </c>
      <c r="B256" s="25" t="s">
        <v>503</v>
      </c>
      <c r="C256" s="25" t="s">
        <v>696</v>
      </c>
      <c r="D256" s="25" t="s">
        <v>414</v>
      </c>
      <c r="E256" s="26" t="s">
        <v>54</v>
      </c>
      <c r="F256" s="26" t="s">
        <v>837</v>
      </c>
      <c r="G256" s="25" t="s">
        <v>411</v>
      </c>
      <c r="H256" s="26"/>
      <c r="I256" s="26"/>
      <c r="J256" s="26"/>
      <c r="K256" s="36" t="s">
        <v>693</v>
      </c>
      <c r="L256" s="33">
        <v>5241.6</v>
      </c>
      <c r="M256" s="33">
        <v>5241.6</v>
      </c>
      <c r="N256" s="34">
        <v>44371</v>
      </c>
      <c r="O256" s="26"/>
      <c r="P256" s="26"/>
      <c r="Q256" s="26"/>
      <c r="R256" s="26"/>
      <c r="S256" s="36"/>
    </row>
    <row r="257" spans="1:19">
      <c r="A257" s="25">
        <v>255</v>
      </c>
      <c r="B257" s="25" t="s">
        <v>474</v>
      </c>
      <c r="C257" s="25" t="s">
        <v>696</v>
      </c>
      <c r="D257" s="25" t="s">
        <v>414</v>
      </c>
      <c r="E257" s="26" t="s">
        <v>26</v>
      </c>
      <c r="F257" s="26" t="s">
        <v>837</v>
      </c>
      <c r="G257" s="25" t="s">
        <v>411</v>
      </c>
      <c r="H257" s="26"/>
      <c r="I257" s="26"/>
      <c r="J257" s="26"/>
      <c r="K257" s="36" t="s">
        <v>693</v>
      </c>
      <c r="L257" s="33">
        <v>5166.66666666666</v>
      </c>
      <c r="M257" s="33">
        <v>5166.66666666666</v>
      </c>
      <c r="N257" s="34">
        <v>44371</v>
      </c>
      <c r="O257" s="26"/>
      <c r="P257" s="26"/>
      <c r="Q257" s="26"/>
      <c r="R257" s="26"/>
      <c r="S257" s="36"/>
    </row>
    <row r="258" spans="1:19">
      <c r="A258" s="27">
        <v>256</v>
      </c>
      <c r="B258" s="25" t="s">
        <v>520</v>
      </c>
      <c r="C258" s="25" t="s">
        <v>696</v>
      </c>
      <c r="D258" s="25" t="s">
        <v>414</v>
      </c>
      <c r="E258" s="26" t="s">
        <v>50</v>
      </c>
      <c r="F258" s="26" t="s">
        <v>757</v>
      </c>
      <c r="G258" s="25" t="s">
        <v>422</v>
      </c>
      <c r="H258" s="26"/>
      <c r="I258" s="26"/>
      <c r="J258" s="26"/>
      <c r="K258" s="36" t="s">
        <v>839</v>
      </c>
      <c r="L258" s="33">
        <v>5155.2</v>
      </c>
      <c r="M258" s="33">
        <v>5155.2</v>
      </c>
      <c r="N258" s="34">
        <v>44371</v>
      </c>
      <c r="O258" s="34">
        <v>44375</v>
      </c>
      <c r="P258" s="26"/>
      <c r="Q258" s="26"/>
      <c r="R258" s="26"/>
      <c r="S258" s="36" t="s">
        <v>840</v>
      </c>
    </row>
    <row r="259" spans="1:19">
      <c r="A259" s="25">
        <v>257</v>
      </c>
      <c r="B259" s="25" t="s">
        <v>841</v>
      </c>
      <c r="C259" s="25" t="s">
        <v>696</v>
      </c>
      <c r="D259" s="25" t="s">
        <v>414</v>
      </c>
      <c r="E259" s="26" t="s">
        <v>26</v>
      </c>
      <c r="F259" s="26" t="s">
        <v>738</v>
      </c>
      <c r="G259" s="25" t="s">
        <v>707</v>
      </c>
      <c r="H259" s="26">
        <v>1</v>
      </c>
      <c r="I259" s="26">
        <v>160</v>
      </c>
      <c r="J259" s="26"/>
      <c r="K259" s="36" t="s">
        <v>401</v>
      </c>
      <c r="L259" s="33">
        <v>0</v>
      </c>
      <c r="M259" s="33">
        <v>9686</v>
      </c>
      <c r="N259" s="34"/>
      <c r="O259" s="26"/>
      <c r="P259" s="26"/>
      <c r="Q259" s="26"/>
      <c r="R259" s="26"/>
      <c r="S259" s="36"/>
    </row>
    <row r="260" spans="1:19">
      <c r="A260" s="27">
        <v>258</v>
      </c>
      <c r="B260" s="25" t="s">
        <v>136</v>
      </c>
      <c r="C260" s="25" t="s">
        <v>696</v>
      </c>
      <c r="D260" s="25" t="s">
        <v>441</v>
      </c>
      <c r="E260" s="26" t="s">
        <v>37</v>
      </c>
      <c r="F260" s="26"/>
      <c r="G260" s="25" t="s">
        <v>707</v>
      </c>
      <c r="H260" s="26"/>
      <c r="I260" s="26"/>
      <c r="J260" s="26"/>
      <c r="K260" s="36" t="s">
        <v>842</v>
      </c>
      <c r="L260" s="33">
        <v>22440.6666666667</v>
      </c>
      <c r="M260" s="33"/>
      <c r="N260" s="26"/>
      <c r="O260" s="26"/>
      <c r="P260" s="26"/>
      <c r="Q260" s="26"/>
      <c r="R260" s="26"/>
      <c r="S260" s="36"/>
    </row>
    <row r="261" spans="1:19">
      <c r="A261" s="25">
        <v>259</v>
      </c>
      <c r="B261" s="25" t="s">
        <v>563</v>
      </c>
      <c r="C261" s="25" t="s">
        <v>696</v>
      </c>
      <c r="D261" s="25" t="s">
        <v>414</v>
      </c>
      <c r="E261" s="26" t="s">
        <v>19</v>
      </c>
      <c r="F261" s="26" t="s">
        <v>229</v>
      </c>
      <c r="G261" s="25" t="s">
        <v>411</v>
      </c>
      <c r="H261" s="26">
        <v>1</v>
      </c>
      <c r="I261" s="26">
        <v>160</v>
      </c>
      <c r="J261" s="26"/>
      <c r="K261" s="36" t="s">
        <v>693</v>
      </c>
      <c r="L261" s="33">
        <v>4716</v>
      </c>
      <c r="M261" s="33">
        <v>4716</v>
      </c>
      <c r="N261" s="34">
        <v>44376</v>
      </c>
      <c r="O261" s="26"/>
      <c r="P261" s="26"/>
      <c r="Q261" s="26"/>
      <c r="R261" s="26"/>
      <c r="S261" s="36" t="s">
        <v>843</v>
      </c>
    </row>
    <row r="262" spans="1:19">
      <c r="A262" s="27">
        <v>260</v>
      </c>
      <c r="B262" s="25" t="s">
        <v>558</v>
      </c>
      <c r="C262" s="25" t="s">
        <v>696</v>
      </c>
      <c r="D262" s="25" t="s">
        <v>414</v>
      </c>
      <c r="E262" s="26" t="s">
        <v>19</v>
      </c>
      <c r="F262" s="26" t="s">
        <v>229</v>
      </c>
      <c r="G262" s="25" t="s">
        <v>411</v>
      </c>
      <c r="H262" s="26">
        <v>1</v>
      </c>
      <c r="I262" s="26">
        <v>160</v>
      </c>
      <c r="J262" s="26"/>
      <c r="K262" s="36" t="s">
        <v>693</v>
      </c>
      <c r="L262" s="33">
        <v>893</v>
      </c>
      <c r="M262" s="33">
        <v>893</v>
      </c>
      <c r="N262" s="34">
        <v>44376</v>
      </c>
      <c r="O262" s="26"/>
      <c r="P262" s="26"/>
      <c r="Q262" s="26"/>
      <c r="R262" s="26"/>
      <c r="S262" s="36" t="s">
        <v>559</v>
      </c>
    </row>
    <row r="263" spans="1:19">
      <c r="A263" s="25">
        <v>261</v>
      </c>
      <c r="B263" s="27" t="s">
        <v>73</v>
      </c>
      <c r="C263" s="25" t="s">
        <v>696</v>
      </c>
      <c r="D263" s="25" t="s">
        <v>441</v>
      </c>
      <c r="E263" s="26" t="s">
        <v>29</v>
      </c>
      <c r="F263" s="26" t="s">
        <v>229</v>
      </c>
      <c r="G263" s="25" t="s">
        <v>415</v>
      </c>
      <c r="H263" s="26">
        <v>1</v>
      </c>
      <c r="I263" s="26">
        <v>250</v>
      </c>
      <c r="J263" s="26"/>
      <c r="K263" s="36"/>
      <c r="L263" s="33"/>
      <c r="M263" s="33"/>
      <c r="N263" s="26" t="s">
        <v>844</v>
      </c>
      <c r="O263" s="26"/>
      <c r="P263" s="26"/>
      <c r="Q263" s="26"/>
      <c r="R263" s="26"/>
      <c r="S263" s="36"/>
    </row>
    <row r="264" spans="1:19">
      <c r="A264" s="27">
        <v>262</v>
      </c>
      <c r="B264" s="26" t="s">
        <v>90</v>
      </c>
      <c r="C264" s="27" t="s">
        <v>728</v>
      </c>
      <c r="D264" s="25" t="s">
        <v>410</v>
      </c>
      <c r="E264" s="26" t="s">
        <v>26</v>
      </c>
      <c r="F264" s="26" t="s">
        <v>698</v>
      </c>
      <c r="G264" s="25" t="s">
        <v>707</v>
      </c>
      <c r="H264" s="26"/>
      <c r="I264" s="26"/>
      <c r="J264" s="26"/>
      <c r="K264" s="36"/>
      <c r="L264" s="33"/>
      <c r="M264" s="33"/>
      <c r="N264" s="26"/>
      <c r="O264" s="26"/>
      <c r="P264" s="26"/>
      <c r="Q264" s="26"/>
      <c r="R264" s="26"/>
      <c r="S264" s="36"/>
    </row>
    <row r="265" spans="1:19">
      <c r="A265" s="25">
        <v>263</v>
      </c>
      <c r="B265" s="26" t="s">
        <v>101</v>
      </c>
      <c r="C265" s="25" t="s">
        <v>696</v>
      </c>
      <c r="D265" s="25" t="s">
        <v>414</v>
      </c>
      <c r="E265" s="26" t="s">
        <v>19</v>
      </c>
      <c r="F265" s="26" t="s">
        <v>229</v>
      </c>
      <c r="G265" s="25" t="s">
        <v>415</v>
      </c>
      <c r="H265" s="26"/>
      <c r="I265" s="26"/>
      <c r="J265" s="26"/>
      <c r="K265" s="36"/>
      <c r="L265" s="33"/>
      <c r="M265" s="33"/>
      <c r="N265" s="26" t="s">
        <v>844</v>
      </c>
      <c r="O265" s="26"/>
      <c r="P265" s="26"/>
      <c r="Q265" s="26"/>
      <c r="R265" s="26"/>
      <c r="S265" s="36"/>
    </row>
  </sheetData>
  <conditionalFormatting sqref="B220">
    <cfRule type="duplicateValues" dxfId="0" priority="157"/>
  </conditionalFormatting>
  <conditionalFormatting sqref="B221">
    <cfRule type="duplicateValues" dxfId="0" priority="156"/>
  </conditionalFormatting>
  <conditionalFormatting sqref="B222">
    <cfRule type="duplicateValues" dxfId="0" priority="155"/>
  </conditionalFormatting>
  <conditionalFormatting sqref="B223">
    <cfRule type="duplicateValues" dxfId="0" priority="154"/>
  </conditionalFormatting>
  <conditionalFormatting sqref="B224">
    <cfRule type="duplicateValues" dxfId="0" priority="153"/>
  </conditionalFormatting>
  <conditionalFormatting sqref="B225">
    <cfRule type="duplicateValues" dxfId="0" priority="152"/>
  </conditionalFormatting>
  <conditionalFormatting sqref="B226">
    <cfRule type="duplicateValues" dxfId="0" priority="151"/>
  </conditionalFormatting>
  <conditionalFormatting sqref="B227">
    <cfRule type="duplicateValues" dxfId="0" priority="150"/>
  </conditionalFormatting>
  <conditionalFormatting sqref="B228">
    <cfRule type="duplicateValues" dxfId="0" priority="149"/>
  </conditionalFormatting>
  <conditionalFormatting sqref="B229">
    <cfRule type="duplicateValues" dxfId="0" priority="148"/>
  </conditionalFormatting>
  <conditionalFormatting sqref="B230">
    <cfRule type="duplicateValues" dxfId="0" priority="147"/>
  </conditionalFormatting>
  <conditionalFormatting sqref="B231">
    <cfRule type="duplicateValues" dxfId="0" priority="146"/>
  </conditionalFormatting>
  <conditionalFormatting sqref="B232">
    <cfRule type="duplicateValues" dxfId="0" priority="145"/>
  </conditionalFormatting>
  <conditionalFormatting sqref="B233">
    <cfRule type="duplicateValues" dxfId="0" priority="144"/>
  </conditionalFormatting>
  <conditionalFormatting sqref="B234">
    <cfRule type="duplicateValues" dxfId="0" priority="143"/>
  </conditionalFormatting>
  <conditionalFormatting sqref="B235">
    <cfRule type="duplicateValues" dxfId="0" priority="142"/>
  </conditionalFormatting>
  <conditionalFormatting sqref="B236">
    <cfRule type="duplicateValues" dxfId="0" priority="141"/>
  </conditionalFormatting>
  <conditionalFormatting sqref="B237">
    <cfRule type="duplicateValues" dxfId="0" priority="116"/>
    <cfRule type="duplicateValues" dxfId="0" priority="139"/>
  </conditionalFormatting>
  <conditionalFormatting sqref="B238">
    <cfRule type="duplicateValues" dxfId="0" priority="115"/>
    <cfRule type="duplicateValues" dxfId="0" priority="138"/>
  </conditionalFormatting>
  <conditionalFormatting sqref="B239">
    <cfRule type="duplicateValues" dxfId="0" priority="114"/>
    <cfRule type="duplicateValues" dxfId="0" priority="137"/>
  </conditionalFormatting>
  <conditionalFormatting sqref="B240">
    <cfRule type="duplicateValues" dxfId="0" priority="113"/>
    <cfRule type="duplicateValues" dxfId="0" priority="136"/>
  </conditionalFormatting>
  <conditionalFormatting sqref="B241">
    <cfRule type="duplicateValues" dxfId="0" priority="112"/>
    <cfRule type="duplicateValues" dxfId="0" priority="135"/>
  </conditionalFormatting>
  <conditionalFormatting sqref="B242">
    <cfRule type="duplicateValues" dxfId="0" priority="111"/>
    <cfRule type="duplicateValues" dxfId="0" priority="134"/>
  </conditionalFormatting>
  <conditionalFormatting sqref="B243">
    <cfRule type="duplicateValues" dxfId="0" priority="110"/>
    <cfRule type="duplicateValues" dxfId="0" priority="133"/>
  </conditionalFormatting>
  <conditionalFormatting sqref="B244">
    <cfRule type="duplicateValues" dxfId="0" priority="109"/>
    <cfRule type="duplicateValues" dxfId="0" priority="132"/>
  </conditionalFormatting>
  <conditionalFormatting sqref="B245">
    <cfRule type="duplicateValues" dxfId="0" priority="108"/>
    <cfRule type="duplicateValues" dxfId="0" priority="131"/>
  </conditionalFormatting>
  <conditionalFormatting sqref="B246">
    <cfRule type="duplicateValues" dxfId="0" priority="107"/>
    <cfRule type="duplicateValues" dxfId="0" priority="130"/>
  </conditionalFormatting>
  <conditionalFormatting sqref="B247">
    <cfRule type="duplicateValues" dxfId="0" priority="106"/>
    <cfRule type="duplicateValues" dxfId="0" priority="129"/>
  </conditionalFormatting>
  <conditionalFormatting sqref="B248">
    <cfRule type="duplicateValues" dxfId="0" priority="105"/>
    <cfRule type="duplicateValues" dxfId="0" priority="128"/>
  </conditionalFormatting>
  <conditionalFormatting sqref="B249">
    <cfRule type="duplicateValues" dxfId="0" priority="104"/>
    <cfRule type="duplicateValues" dxfId="0" priority="127"/>
  </conditionalFormatting>
  <conditionalFormatting sqref="B250">
    <cfRule type="duplicateValues" dxfId="0" priority="103"/>
    <cfRule type="duplicateValues" dxfId="0" priority="126"/>
  </conditionalFormatting>
  <conditionalFormatting sqref="B251">
    <cfRule type="duplicateValues" dxfId="0" priority="102"/>
    <cfRule type="duplicateValues" dxfId="0" priority="125"/>
  </conditionalFormatting>
  <conditionalFormatting sqref="B252">
    <cfRule type="duplicateValues" dxfId="0" priority="101"/>
    <cfRule type="duplicateValues" dxfId="0" priority="124"/>
  </conditionalFormatting>
  <conditionalFormatting sqref="B253">
    <cfRule type="duplicateValues" dxfId="0" priority="100"/>
    <cfRule type="duplicateValues" dxfId="0" priority="123"/>
  </conditionalFormatting>
  <conditionalFormatting sqref="B254">
    <cfRule type="duplicateValues" dxfId="0" priority="99"/>
    <cfRule type="duplicateValues" dxfId="0" priority="122"/>
  </conditionalFormatting>
  <conditionalFormatting sqref="B255">
    <cfRule type="duplicateValues" dxfId="0" priority="98"/>
    <cfRule type="duplicateValues" dxfId="0" priority="121"/>
  </conditionalFormatting>
  <conditionalFormatting sqref="B256">
    <cfRule type="duplicateValues" dxfId="0" priority="97"/>
    <cfRule type="duplicateValues" dxfId="0" priority="120"/>
  </conditionalFormatting>
  <conditionalFormatting sqref="B257">
    <cfRule type="duplicateValues" dxfId="0" priority="96"/>
    <cfRule type="duplicateValues" dxfId="0" priority="119"/>
  </conditionalFormatting>
  <conditionalFormatting sqref="B258">
    <cfRule type="duplicateValues" dxfId="0" priority="95"/>
    <cfRule type="duplicateValues" dxfId="0" priority="118"/>
  </conditionalFormatting>
  <conditionalFormatting sqref="B259">
    <cfRule type="duplicateValues" dxfId="0" priority="94"/>
    <cfRule type="duplicateValues" dxfId="0" priority="117"/>
  </conditionalFormatting>
  <conditionalFormatting sqref="B263"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B264"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B265"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A2:A265">
    <cfRule type="duplicateValues" dxfId="0" priority="13"/>
    <cfRule type="duplicateValues" dxfId="0" priority="14"/>
    <cfRule type="duplicateValues" dxfId="0" priority="61"/>
    <cfRule type="duplicateValues" dxfId="0" priority="79"/>
  </conditionalFormatting>
  <conditionalFormatting sqref="B2:B262">
    <cfRule type="duplicateValues" dxfId="0" priority="92"/>
    <cfRule type="duplicateValues" dxfId="0" priority="93"/>
  </conditionalFormatting>
  <conditionalFormatting sqref="B2:B219 B260:B262">
    <cfRule type="duplicateValues" dxfId="0" priority="158"/>
  </conditionalFormatting>
  <conditionalFormatting sqref="B2:B236 B260:B262">
    <cfRule type="duplicateValues" dxfId="0" priority="140"/>
  </conditionalFormatting>
  <hyperlinks>
    <hyperlink ref="A1" location="目录!A1" display="返回"/>
  </hyperlinks>
  <pageMargins left="0.75" right="0.75" top="1" bottom="1" header="0.5" footer="0.5"/>
  <headerFooter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G7" sqref="G7"/>
    </sheetView>
  </sheetViews>
  <sheetFormatPr defaultColWidth="9" defaultRowHeight="13.5" outlineLevelCol="6"/>
  <cols>
    <col min="1" max="3" width="13.4416666666667" customWidth="1"/>
    <col min="4" max="4" width="18.8833333333333" customWidth="1"/>
    <col min="5" max="5" width="17.3333333333333" customWidth="1"/>
    <col min="6" max="6" width="29.3333333333333" customWidth="1"/>
    <col min="7" max="7" width="13.4416666666667" customWidth="1"/>
  </cols>
  <sheetData>
    <row r="1" ht="27" customHeight="1" spans="1:7">
      <c r="A1" s="21" t="s">
        <v>845</v>
      </c>
      <c r="B1" s="21"/>
      <c r="C1" s="21"/>
      <c r="D1" s="21"/>
      <c r="E1" s="21"/>
      <c r="F1" s="21"/>
      <c r="G1" s="21"/>
    </row>
    <row r="2" ht="21" customHeight="1" spans="1:7">
      <c r="A2" s="22" t="s">
        <v>285</v>
      </c>
      <c r="B2" s="22" t="s">
        <v>846</v>
      </c>
      <c r="C2" s="22" t="s">
        <v>847</v>
      </c>
      <c r="D2" s="22" t="s">
        <v>848</v>
      </c>
      <c r="E2" s="22" t="s">
        <v>849</v>
      </c>
      <c r="F2" s="22" t="s">
        <v>850</v>
      </c>
      <c r="G2" s="22" t="s">
        <v>17</v>
      </c>
    </row>
    <row r="3" ht="25.35" customHeight="1" spans="1:7">
      <c r="A3" s="22">
        <v>1</v>
      </c>
      <c r="B3" s="22" t="s">
        <v>851</v>
      </c>
      <c r="C3" s="22" t="s">
        <v>852</v>
      </c>
      <c r="D3" s="22" t="s">
        <v>853</v>
      </c>
      <c r="E3" s="22" t="s">
        <v>854</v>
      </c>
      <c r="F3" s="22" t="s">
        <v>855</v>
      </c>
      <c r="G3" s="22" t="s">
        <v>20</v>
      </c>
    </row>
    <row r="4" ht="25.35" customHeight="1" spans="1:7">
      <c r="A4" s="22">
        <v>2</v>
      </c>
      <c r="B4" s="22" t="s">
        <v>851</v>
      </c>
      <c r="C4" s="22" t="s">
        <v>856</v>
      </c>
      <c r="D4" s="22" t="s">
        <v>853</v>
      </c>
      <c r="E4" s="22" t="s">
        <v>857</v>
      </c>
      <c r="F4" s="22"/>
      <c r="G4" s="22" t="s">
        <v>20</v>
      </c>
    </row>
    <row r="5" ht="25.35" customHeight="1" spans="1:7">
      <c r="A5" s="22">
        <v>3</v>
      </c>
      <c r="B5" s="22" t="s">
        <v>858</v>
      </c>
      <c r="C5" s="22" t="s">
        <v>859</v>
      </c>
      <c r="D5" s="22" t="s">
        <v>860</v>
      </c>
      <c r="E5" s="22" t="s">
        <v>861</v>
      </c>
      <c r="F5" s="22" t="s">
        <v>862</v>
      </c>
      <c r="G5" s="22" t="s">
        <v>20</v>
      </c>
    </row>
    <row r="6" ht="25.35" customHeight="1" spans="1:7">
      <c r="A6" s="22">
        <v>4</v>
      </c>
      <c r="B6" s="22" t="s">
        <v>863</v>
      </c>
      <c r="C6" s="22" t="s">
        <v>864</v>
      </c>
      <c r="D6" s="22" t="s">
        <v>865</v>
      </c>
      <c r="E6" s="22" t="s">
        <v>861</v>
      </c>
      <c r="F6" s="22" t="s">
        <v>866</v>
      </c>
      <c r="G6" s="22" t="s">
        <v>20</v>
      </c>
    </row>
    <row r="7" ht="25.35" customHeight="1" spans="1:7">
      <c r="A7" s="22">
        <v>5</v>
      </c>
      <c r="B7" s="22" t="s">
        <v>863</v>
      </c>
      <c r="C7" s="22" t="s">
        <v>867</v>
      </c>
      <c r="D7" s="22" t="s">
        <v>865</v>
      </c>
      <c r="E7" s="22" t="s">
        <v>868</v>
      </c>
      <c r="F7" s="22" t="s">
        <v>869</v>
      </c>
      <c r="G7" s="22" t="s">
        <v>20</v>
      </c>
    </row>
    <row r="8" ht="25.35" customHeight="1" spans="1:7">
      <c r="A8" s="22">
        <v>6</v>
      </c>
      <c r="B8" s="22" t="s">
        <v>851</v>
      </c>
      <c r="C8" s="22" t="s">
        <v>870</v>
      </c>
      <c r="D8" s="22" t="s">
        <v>871</v>
      </c>
      <c r="E8" s="22" t="s">
        <v>872</v>
      </c>
      <c r="F8" s="22" t="s">
        <v>855</v>
      </c>
      <c r="G8" s="22" t="s">
        <v>27</v>
      </c>
    </row>
    <row r="9" ht="25.35" customHeight="1" spans="1:7">
      <c r="A9" s="22">
        <v>7</v>
      </c>
      <c r="B9" s="22" t="s">
        <v>851</v>
      </c>
      <c r="C9" s="22" t="s">
        <v>873</v>
      </c>
      <c r="D9" s="22" t="s">
        <v>874</v>
      </c>
      <c r="E9" s="22" t="s">
        <v>861</v>
      </c>
      <c r="F9" s="22"/>
      <c r="G9" s="22" t="s">
        <v>27</v>
      </c>
    </row>
    <row r="10" ht="25.35" customHeight="1" spans="1:7">
      <c r="A10" s="22">
        <v>8</v>
      </c>
      <c r="B10" s="22" t="s">
        <v>858</v>
      </c>
      <c r="C10" s="22" t="s">
        <v>875</v>
      </c>
      <c r="D10" s="22" t="s">
        <v>860</v>
      </c>
      <c r="E10" s="22" t="s">
        <v>861</v>
      </c>
      <c r="F10" s="22" t="s">
        <v>862</v>
      </c>
      <c r="G10" s="22" t="s">
        <v>27</v>
      </c>
    </row>
    <row r="11" ht="25.35" customHeight="1" spans="1:7">
      <c r="A11" s="22">
        <v>9</v>
      </c>
      <c r="B11" s="22" t="s">
        <v>863</v>
      </c>
      <c r="C11" s="22" t="s">
        <v>876</v>
      </c>
      <c r="D11" s="22" t="s">
        <v>877</v>
      </c>
      <c r="E11" s="22" t="s">
        <v>878</v>
      </c>
      <c r="F11" s="22" t="s">
        <v>866</v>
      </c>
      <c r="G11" s="22" t="s">
        <v>27</v>
      </c>
    </row>
    <row r="12" ht="25.35" customHeight="1" spans="1:7">
      <c r="A12" s="22">
        <v>10</v>
      </c>
      <c r="B12" s="22" t="s">
        <v>863</v>
      </c>
      <c r="C12" s="22" t="s">
        <v>879</v>
      </c>
      <c r="D12" s="22" t="s">
        <v>877</v>
      </c>
      <c r="E12" s="22" t="s">
        <v>868</v>
      </c>
      <c r="F12" s="22" t="s">
        <v>869</v>
      </c>
      <c r="G12" s="22" t="s">
        <v>27</v>
      </c>
    </row>
    <row r="13" ht="25.35" customHeight="1" spans="1:7">
      <c r="A13" s="22">
        <v>11</v>
      </c>
      <c r="B13" s="22" t="s">
        <v>880</v>
      </c>
      <c r="C13" s="22" t="s">
        <v>881</v>
      </c>
      <c r="D13" s="22" t="s">
        <v>860</v>
      </c>
      <c r="E13" s="22" t="s">
        <v>882</v>
      </c>
      <c r="F13" s="22" t="s">
        <v>883</v>
      </c>
      <c r="G13" s="22" t="s">
        <v>884</v>
      </c>
    </row>
  </sheetData>
  <mergeCells count="3">
    <mergeCell ref="A1:G1"/>
    <mergeCell ref="F3:F4"/>
    <mergeCell ref="F8:F9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A1" sqref="A1:C18"/>
    </sheetView>
  </sheetViews>
  <sheetFormatPr defaultColWidth="9" defaultRowHeight="13.5" outlineLevelCol="2"/>
  <cols>
    <col min="1" max="1" width="12.1083333333333" customWidth="1"/>
    <col min="2" max="2" width="15" customWidth="1"/>
    <col min="3" max="3" width="14.4416666666667" customWidth="1"/>
  </cols>
  <sheetData>
    <row r="1" ht="25.35" customHeight="1" spans="1:3">
      <c r="A1" s="17" t="s">
        <v>360</v>
      </c>
      <c r="B1" s="18"/>
      <c r="C1" s="19"/>
    </row>
    <row r="2" ht="22.35" customHeight="1" spans="1:3">
      <c r="A2" s="20" t="s">
        <v>885</v>
      </c>
      <c r="B2" s="20" t="s">
        <v>292</v>
      </c>
      <c r="C2" s="20" t="s">
        <v>360</v>
      </c>
    </row>
    <row r="3" ht="14.25" spans="1:3">
      <c r="A3" s="20">
        <v>1</v>
      </c>
      <c r="B3" s="20" t="s">
        <v>37</v>
      </c>
      <c r="C3" s="20" t="s">
        <v>27</v>
      </c>
    </row>
    <row r="4" ht="14.25" spans="1:3">
      <c r="A4" s="20">
        <v>2</v>
      </c>
      <c r="B4" s="20" t="s">
        <v>26</v>
      </c>
      <c r="C4" s="20" t="s">
        <v>27</v>
      </c>
    </row>
    <row r="5" ht="14.25" spans="1:3">
      <c r="A5" s="20">
        <v>3</v>
      </c>
      <c r="B5" s="20" t="s">
        <v>35</v>
      </c>
      <c r="C5" s="20" t="s">
        <v>27</v>
      </c>
    </row>
    <row r="6" ht="14.25" spans="1:3">
      <c r="A6" s="20">
        <v>4</v>
      </c>
      <c r="B6" s="20" t="s">
        <v>33</v>
      </c>
      <c r="C6" s="20" t="s">
        <v>27</v>
      </c>
    </row>
    <row r="7" ht="14.25" spans="1:3">
      <c r="A7" s="20">
        <v>5</v>
      </c>
      <c r="B7" s="20" t="s">
        <v>52</v>
      </c>
      <c r="C7" s="20" t="s">
        <v>27</v>
      </c>
    </row>
    <row r="8" ht="14.25" spans="1:3">
      <c r="A8" s="20">
        <v>6</v>
      </c>
      <c r="B8" s="20" t="s">
        <v>41</v>
      </c>
      <c r="C8" s="20" t="s">
        <v>27</v>
      </c>
    </row>
    <row r="9" ht="14.25" spans="1:3">
      <c r="A9" s="20">
        <v>7</v>
      </c>
      <c r="B9" s="20" t="s">
        <v>39</v>
      </c>
      <c r="C9" s="20" t="s">
        <v>27</v>
      </c>
    </row>
    <row r="10" ht="14.25" spans="1:3">
      <c r="A10" s="20">
        <v>8</v>
      </c>
      <c r="B10" s="20" t="s">
        <v>48</v>
      </c>
      <c r="C10" s="20" t="s">
        <v>27</v>
      </c>
    </row>
    <row r="11" ht="14.25" spans="1:3">
      <c r="A11" s="20">
        <v>9</v>
      </c>
      <c r="B11" s="20" t="s">
        <v>19</v>
      </c>
      <c r="C11" s="20" t="s">
        <v>20</v>
      </c>
    </row>
    <row r="12" ht="14.25" spans="1:3">
      <c r="A12" s="20">
        <v>10</v>
      </c>
      <c r="B12" s="20" t="s">
        <v>54</v>
      </c>
      <c r="C12" s="20" t="s">
        <v>20</v>
      </c>
    </row>
    <row r="13" ht="14.25" spans="1:3">
      <c r="A13" s="20">
        <v>11</v>
      </c>
      <c r="B13" s="20" t="s">
        <v>56</v>
      </c>
      <c r="C13" s="20" t="s">
        <v>20</v>
      </c>
    </row>
    <row r="14" ht="14.25" spans="1:3">
      <c r="A14" s="20">
        <v>12</v>
      </c>
      <c r="B14" s="20" t="s">
        <v>22</v>
      </c>
      <c r="C14" s="20" t="s">
        <v>20</v>
      </c>
    </row>
    <row r="15" ht="14.25" spans="1:3">
      <c r="A15" s="20">
        <v>13</v>
      </c>
      <c r="B15" s="20" t="s">
        <v>29</v>
      </c>
      <c r="C15" s="20" t="s">
        <v>20</v>
      </c>
    </row>
    <row r="16" ht="14.25" spans="1:3">
      <c r="A16" s="20">
        <v>14</v>
      </c>
      <c r="B16" s="20" t="s">
        <v>50</v>
      </c>
      <c r="C16" s="20" t="s">
        <v>20</v>
      </c>
    </row>
    <row r="17" ht="14.25" spans="1:3">
      <c r="A17" s="20">
        <v>15</v>
      </c>
      <c r="B17" s="20" t="s">
        <v>31</v>
      </c>
      <c r="C17" s="20" t="s">
        <v>20</v>
      </c>
    </row>
    <row r="18" ht="14.25" spans="1:3">
      <c r="A18" s="20">
        <v>16</v>
      </c>
      <c r="B18" s="20" t="s">
        <v>24</v>
      </c>
      <c r="C18" s="20" t="s">
        <v>20</v>
      </c>
    </row>
  </sheetData>
  <mergeCells count="1">
    <mergeCell ref="A1:C1"/>
  </mergeCells>
  <pageMargins left="0.7" right="0.7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9"/>
  <sheetViews>
    <sheetView workbookViewId="0">
      <pane ySplit="3" topLeftCell="A4" activePane="bottomLeft" state="frozen"/>
      <selection/>
      <selection pane="bottomLeft" activeCell="I30" sqref="I30"/>
    </sheetView>
  </sheetViews>
  <sheetFormatPr defaultColWidth="8.775" defaultRowHeight="11.25"/>
  <cols>
    <col min="1" max="1" width="13.8833333333333" style="4" customWidth="1"/>
    <col min="2" max="2" width="5.10833333333333" style="4" customWidth="1"/>
    <col min="3" max="3" width="4.775" style="4" customWidth="1"/>
    <col min="4" max="4" width="12.6666666666667" style="4" customWidth="1"/>
    <col min="5" max="5" width="8.775" style="4"/>
    <col min="6" max="6" width="8.33333333333333" style="4" customWidth="1"/>
    <col min="7" max="11" width="8.775" style="4"/>
    <col min="12" max="12" width="2.10833333333333" style="4" customWidth="1"/>
    <col min="13" max="13" width="11.3333333333333" style="5" customWidth="1"/>
    <col min="14" max="14" width="9.33333333333333" style="5" customWidth="1"/>
    <col min="15" max="15" width="3.88333333333333" style="4" customWidth="1"/>
    <col min="16" max="16" width="8.775" style="4"/>
    <col min="17" max="17" width="6" style="4" customWidth="1"/>
    <col min="18" max="18" width="10.2166666666667" style="4" customWidth="1"/>
    <col min="19" max="19" width="10.6666666666667" style="4" customWidth="1"/>
    <col min="20" max="20" width="9.10833333333333" style="4" customWidth="1"/>
    <col min="21" max="21" width="13" style="4" customWidth="1"/>
    <col min="22" max="16384" width="8.775" style="4"/>
  </cols>
  <sheetData>
    <row r="1" ht="13.5" spans="1:1">
      <c r="A1" s="6" t="s">
        <v>14</v>
      </c>
    </row>
    <row r="2" ht="17.1" customHeight="1" spans="1:21">
      <c r="A2" s="7" t="s">
        <v>292</v>
      </c>
      <c r="B2" s="8" t="s">
        <v>16</v>
      </c>
      <c r="C2" s="8" t="s">
        <v>17</v>
      </c>
      <c r="D2" s="7" t="s">
        <v>62</v>
      </c>
      <c r="E2" s="7" t="s">
        <v>184</v>
      </c>
      <c r="F2" s="7" t="s">
        <v>886</v>
      </c>
      <c r="G2" s="7"/>
      <c r="H2" s="7"/>
      <c r="I2" s="7"/>
      <c r="J2" s="7"/>
      <c r="K2" s="7"/>
      <c r="M2" s="13" t="s">
        <v>887</v>
      </c>
      <c r="N2" s="7" t="s">
        <v>888</v>
      </c>
      <c r="P2" s="14" t="s">
        <v>61</v>
      </c>
      <c r="Q2" s="14" t="s">
        <v>17</v>
      </c>
      <c r="R2" s="14" t="s">
        <v>889</v>
      </c>
      <c r="S2" s="14" t="s">
        <v>890</v>
      </c>
      <c r="T2" s="14" t="s">
        <v>891</v>
      </c>
      <c r="U2" s="14" t="s">
        <v>892</v>
      </c>
    </row>
    <row r="3" ht="23.1" customHeight="1" spans="1:21">
      <c r="A3" s="7"/>
      <c r="B3" s="9"/>
      <c r="C3" s="9"/>
      <c r="D3" s="7"/>
      <c r="E3" s="7"/>
      <c r="F3" s="10" t="s">
        <v>60</v>
      </c>
      <c r="G3" s="10" t="s">
        <v>227</v>
      </c>
      <c r="H3" s="10" t="s">
        <v>241</v>
      </c>
      <c r="I3" s="10" t="s">
        <v>252</v>
      </c>
      <c r="J3" s="10" t="s">
        <v>104</v>
      </c>
      <c r="K3" s="10" t="s">
        <v>893</v>
      </c>
      <c r="M3" s="15"/>
      <c r="N3" s="7"/>
      <c r="P3" s="14"/>
      <c r="Q3" s="14"/>
      <c r="R3" s="14"/>
      <c r="S3" s="14"/>
      <c r="T3" s="14"/>
      <c r="U3" s="14"/>
    </row>
    <row r="4" spans="1:21">
      <c r="A4" s="11" t="s">
        <v>40</v>
      </c>
      <c r="B4" s="11" t="s">
        <v>41</v>
      </c>
      <c r="C4" s="11" t="s">
        <v>27</v>
      </c>
      <c r="D4" s="11">
        <v>681021012</v>
      </c>
      <c r="E4" s="11" t="s">
        <v>894</v>
      </c>
      <c r="F4" s="12">
        <v>5000</v>
      </c>
      <c r="G4" s="12"/>
      <c r="H4" s="12"/>
      <c r="I4" s="12"/>
      <c r="J4" s="12">
        <v>5000</v>
      </c>
      <c r="K4" s="16" t="s">
        <v>340</v>
      </c>
      <c r="M4" s="16">
        <v>0</v>
      </c>
      <c r="N4" s="16">
        <f>J4+M4</f>
        <v>5000</v>
      </c>
      <c r="P4" s="11" t="s">
        <v>54</v>
      </c>
      <c r="Q4" s="11" t="s">
        <v>20</v>
      </c>
      <c r="R4" s="12">
        <v>8511</v>
      </c>
      <c r="S4" s="12">
        <v>33949</v>
      </c>
      <c r="T4" s="12">
        <v>1600</v>
      </c>
      <c r="U4" s="12">
        <v>44060</v>
      </c>
    </row>
    <row r="5" spans="1:21">
      <c r="A5" s="11" t="s">
        <v>25</v>
      </c>
      <c r="B5" s="11" t="s">
        <v>26</v>
      </c>
      <c r="C5" s="11" t="s">
        <v>27</v>
      </c>
      <c r="D5" s="11" t="s">
        <v>76</v>
      </c>
      <c r="E5" s="11" t="s">
        <v>281</v>
      </c>
      <c r="F5" s="12">
        <v>419</v>
      </c>
      <c r="G5" s="12"/>
      <c r="H5" s="12"/>
      <c r="I5" s="12"/>
      <c r="J5" s="12">
        <v>419</v>
      </c>
      <c r="K5" s="16" t="s">
        <v>410</v>
      </c>
      <c r="M5" s="16">
        <v>0</v>
      </c>
      <c r="N5" s="16">
        <f t="shared" ref="N5:N68" si="0">J5+M5</f>
        <v>419</v>
      </c>
      <c r="P5" s="11" t="s">
        <v>31</v>
      </c>
      <c r="Q5" s="11" t="s">
        <v>20</v>
      </c>
      <c r="R5" s="12">
        <v>13187</v>
      </c>
      <c r="S5" s="12">
        <v>9750</v>
      </c>
      <c r="T5" s="12">
        <v>0</v>
      </c>
      <c r="U5" s="12">
        <v>22937</v>
      </c>
    </row>
    <row r="6" spans="1:21">
      <c r="A6" s="11" t="s">
        <v>25</v>
      </c>
      <c r="B6" s="11" t="s">
        <v>26</v>
      </c>
      <c r="C6" s="11" t="s">
        <v>27</v>
      </c>
      <c r="D6" s="11" t="s">
        <v>77</v>
      </c>
      <c r="E6" s="11" t="s">
        <v>240</v>
      </c>
      <c r="F6" s="12">
        <v>1437</v>
      </c>
      <c r="G6" s="12"/>
      <c r="H6" s="12"/>
      <c r="I6" s="12"/>
      <c r="J6" s="12">
        <v>1437</v>
      </c>
      <c r="K6" s="16" t="s">
        <v>410</v>
      </c>
      <c r="M6" s="16">
        <v>0</v>
      </c>
      <c r="N6" s="16">
        <f t="shared" si="0"/>
        <v>1437</v>
      </c>
      <c r="P6" s="11" t="s">
        <v>29</v>
      </c>
      <c r="Q6" s="11" t="s">
        <v>20</v>
      </c>
      <c r="R6" s="12">
        <v>415</v>
      </c>
      <c r="S6" s="12">
        <v>90240</v>
      </c>
      <c r="T6" s="12">
        <v>22700</v>
      </c>
      <c r="U6" s="12">
        <v>113355</v>
      </c>
    </row>
    <row r="7" spans="1:21">
      <c r="A7" s="11" t="s">
        <v>40</v>
      </c>
      <c r="B7" s="11" t="s">
        <v>41</v>
      </c>
      <c r="C7" s="11" t="s">
        <v>27</v>
      </c>
      <c r="D7" s="11" t="s">
        <v>895</v>
      </c>
      <c r="E7" s="11" t="s">
        <v>896</v>
      </c>
      <c r="F7" s="12">
        <v>800</v>
      </c>
      <c r="G7" s="12"/>
      <c r="H7" s="12"/>
      <c r="I7" s="12"/>
      <c r="J7" s="12">
        <v>800</v>
      </c>
      <c r="K7" s="16" t="s">
        <v>897</v>
      </c>
      <c r="M7" s="16">
        <v>0</v>
      </c>
      <c r="N7" s="16">
        <f t="shared" si="0"/>
        <v>800</v>
      </c>
      <c r="P7" s="11" t="s">
        <v>24</v>
      </c>
      <c r="Q7" s="11" t="s">
        <v>20</v>
      </c>
      <c r="R7" s="12">
        <v>16477</v>
      </c>
      <c r="S7" s="12">
        <v>34950</v>
      </c>
      <c r="T7" s="12">
        <v>0</v>
      </c>
      <c r="U7" s="12">
        <v>51427</v>
      </c>
    </row>
    <row r="8" spans="1:21">
      <c r="A8" s="11" t="s">
        <v>25</v>
      </c>
      <c r="B8" s="11" t="s">
        <v>26</v>
      </c>
      <c r="C8" s="11" t="s">
        <v>27</v>
      </c>
      <c r="D8" s="11" t="s">
        <v>78</v>
      </c>
      <c r="E8" s="11" t="s">
        <v>240</v>
      </c>
      <c r="F8" s="12">
        <v>5627</v>
      </c>
      <c r="G8" s="12">
        <v>1500</v>
      </c>
      <c r="H8" s="12">
        <v>1743</v>
      </c>
      <c r="I8" s="12"/>
      <c r="J8" s="12">
        <v>8870</v>
      </c>
      <c r="K8" s="16" t="s">
        <v>410</v>
      </c>
      <c r="M8" s="16">
        <v>3754</v>
      </c>
      <c r="N8" s="16">
        <f t="shared" si="0"/>
        <v>12624</v>
      </c>
      <c r="P8" s="11" t="s">
        <v>22</v>
      </c>
      <c r="Q8" s="11" t="s">
        <v>20</v>
      </c>
      <c r="R8" s="12">
        <v>8514</v>
      </c>
      <c r="S8" s="12">
        <v>35026</v>
      </c>
      <c r="T8" s="12">
        <v>2200</v>
      </c>
      <c r="U8" s="12">
        <v>45740</v>
      </c>
    </row>
    <row r="9" spans="1:21">
      <c r="A9" s="11" t="s">
        <v>25</v>
      </c>
      <c r="B9" s="11" t="s">
        <v>26</v>
      </c>
      <c r="C9" s="11" t="s">
        <v>27</v>
      </c>
      <c r="D9" s="11" t="s">
        <v>79</v>
      </c>
      <c r="E9" s="11" t="s">
        <v>240</v>
      </c>
      <c r="F9" s="12">
        <v>1595</v>
      </c>
      <c r="G9" s="12"/>
      <c r="H9" s="12"/>
      <c r="I9" s="12"/>
      <c r="J9" s="12">
        <v>1595</v>
      </c>
      <c r="K9" s="16" t="s">
        <v>410</v>
      </c>
      <c r="M9" s="16">
        <v>3868</v>
      </c>
      <c r="N9" s="16">
        <f t="shared" si="0"/>
        <v>5463</v>
      </c>
      <c r="P9" s="11" t="s">
        <v>19</v>
      </c>
      <c r="Q9" s="11" t="s">
        <v>20</v>
      </c>
      <c r="R9" s="12">
        <v>28000</v>
      </c>
      <c r="S9" s="12">
        <v>467495</v>
      </c>
      <c r="T9" s="12">
        <v>297361</v>
      </c>
      <c r="U9" s="12">
        <v>792856</v>
      </c>
    </row>
    <row r="10" spans="1:21">
      <c r="A10" s="11" t="s">
        <v>18</v>
      </c>
      <c r="B10" s="11" t="s">
        <v>19</v>
      </c>
      <c r="C10" s="11" t="s">
        <v>20</v>
      </c>
      <c r="D10" s="11" t="s">
        <v>101</v>
      </c>
      <c r="E10" s="11" t="s">
        <v>220</v>
      </c>
      <c r="F10" s="12">
        <v>36097</v>
      </c>
      <c r="G10" s="12">
        <v>6800</v>
      </c>
      <c r="H10" s="12"/>
      <c r="I10" s="12"/>
      <c r="J10" s="12">
        <v>42897</v>
      </c>
      <c r="K10" s="16" t="s">
        <v>897</v>
      </c>
      <c r="M10" s="16">
        <v>0</v>
      </c>
      <c r="N10" s="16">
        <f t="shared" si="0"/>
        <v>42897</v>
      </c>
      <c r="P10" s="11" t="s">
        <v>35</v>
      </c>
      <c r="Q10" s="11" t="s">
        <v>27</v>
      </c>
      <c r="R10" s="12">
        <v>0</v>
      </c>
      <c r="S10" s="12">
        <v>146290</v>
      </c>
      <c r="T10" s="12">
        <v>66818</v>
      </c>
      <c r="U10" s="12">
        <v>213108</v>
      </c>
    </row>
    <row r="11" spans="1:21">
      <c r="A11" s="11" t="s">
        <v>45</v>
      </c>
      <c r="B11" s="11" t="s">
        <v>298</v>
      </c>
      <c r="C11" s="11"/>
      <c r="D11" s="11" t="s">
        <v>331</v>
      </c>
      <c r="E11" s="11" t="s">
        <v>220</v>
      </c>
      <c r="F11" s="12">
        <v>10000</v>
      </c>
      <c r="G11" s="12"/>
      <c r="H11" s="12"/>
      <c r="I11" s="12"/>
      <c r="J11" s="12">
        <v>10000</v>
      </c>
      <c r="K11" s="16" t="s">
        <v>897</v>
      </c>
      <c r="M11" s="16">
        <v>0</v>
      </c>
      <c r="N11" s="16">
        <f t="shared" si="0"/>
        <v>10000</v>
      </c>
      <c r="P11" s="11" t="s">
        <v>33</v>
      </c>
      <c r="Q11" s="11" t="s">
        <v>27</v>
      </c>
      <c r="R11" s="12">
        <v>0</v>
      </c>
      <c r="S11" s="12">
        <v>33052</v>
      </c>
      <c r="T11" s="12">
        <v>27400</v>
      </c>
      <c r="U11" s="12">
        <v>60452</v>
      </c>
    </row>
    <row r="12" spans="1:21">
      <c r="A12" s="11" t="s">
        <v>25</v>
      </c>
      <c r="B12" s="11" t="s">
        <v>26</v>
      </c>
      <c r="C12" s="11" t="s">
        <v>27</v>
      </c>
      <c r="D12" s="11" t="s">
        <v>80</v>
      </c>
      <c r="E12" s="11" t="s">
        <v>220</v>
      </c>
      <c r="F12" s="12">
        <v>3435</v>
      </c>
      <c r="G12" s="12"/>
      <c r="H12" s="12"/>
      <c r="I12" s="12"/>
      <c r="J12" s="12">
        <v>3435</v>
      </c>
      <c r="K12" s="16" t="s">
        <v>410</v>
      </c>
      <c r="M12" s="16">
        <v>0</v>
      </c>
      <c r="N12" s="16">
        <f t="shared" si="0"/>
        <v>3435</v>
      </c>
      <c r="P12" s="11" t="s">
        <v>52</v>
      </c>
      <c r="Q12" s="11" t="s">
        <v>27</v>
      </c>
      <c r="R12" s="12">
        <v>21520</v>
      </c>
      <c r="S12" s="12">
        <v>219360</v>
      </c>
      <c r="T12" s="12">
        <v>72200</v>
      </c>
      <c r="U12" s="12">
        <v>313080</v>
      </c>
    </row>
    <row r="13" spans="1:21">
      <c r="A13" s="11" t="s">
        <v>25</v>
      </c>
      <c r="B13" s="11" t="s">
        <v>26</v>
      </c>
      <c r="C13" s="11" t="s">
        <v>27</v>
      </c>
      <c r="D13" s="11" t="s">
        <v>81</v>
      </c>
      <c r="E13" s="11" t="s">
        <v>280</v>
      </c>
      <c r="F13" s="12">
        <v>6749</v>
      </c>
      <c r="G13" s="12"/>
      <c r="H13" s="12"/>
      <c r="I13" s="12"/>
      <c r="J13" s="12">
        <v>6749</v>
      </c>
      <c r="K13" s="16" t="s">
        <v>410</v>
      </c>
      <c r="M13" s="16">
        <v>3194</v>
      </c>
      <c r="N13" s="16">
        <f t="shared" si="0"/>
        <v>9943</v>
      </c>
      <c r="P13" s="11" t="s">
        <v>37</v>
      </c>
      <c r="Q13" s="11" t="s">
        <v>27</v>
      </c>
      <c r="R13" s="12">
        <v>0</v>
      </c>
      <c r="S13" s="12">
        <v>191952</v>
      </c>
      <c r="T13" s="12">
        <v>235444</v>
      </c>
      <c r="U13" s="12">
        <v>427396</v>
      </c>
    </row>
    <row r="14" spans="1:21">
      <c r="A14" s="11" t="s">
        <v>18</v>
      </c>
      <c r="B14" s="11" t="s">
        <v>19</v>
      </c>
      <c r="C14" s="11" t="s">
        <v>20</v>
      </c>
      <c r="D14" s="11" t="s">
        <v>162</v>
      </c>
      <c r="E14" s="11" t="s">
        <v>220</v>
      </c>
      <c r="F14" s="12">
        <v>2300</v>
      </c>
      <c r="G14" s="12"/>
      <c r="H14" s="12"/>
      <c r="I14" s="12"/>
      <c r="J14" s="12">
        <v>2300</v>
      </c>
      <c r="K14" s="16" t="s">
        <v>340</v>
      </c>
      <c r="M14" s="16">
        <v>0</v>
      </c>
      <c r="N14" s="16">
        <f t="shared" si="0"/>
        <v>2300</v>
      </c>
      <c r="P14" s="11" t="s">
        <v>26</v>
      </c>
      <c r="Q14" s="11" t="s">
        <v>27</v>
      </c>
      <c r="R14" s="12">
        <v>31924</v>
      </c>
      <c r="S14" s="12">
        <v>383751</v>
      </c>
      <c r="T14" s="12">
        <v>503339</v>
      </c>
      <c r="U14" s="12">
        <v>919014</v>
      </c>
    </row>
    <row r="15" spans="1:21">
      <c r="A15" s="11" t="s">
        <v>30</v>
      </c>
      <c r="B15" s="11" t="s">
        <v>31</v>
      </c>
      <c r="C15" s="11" t="s">
        <v>20</v>
      </c>
      <c r="D15" s="11" t="s">
        <v>70</v>
      </c>
      <c r="E15" s="11" t="s">
        <v>220</v>
      </c>
      <c r="F15" s="12">
        <v>3206</v>
      </c>
      <c r="G15" s="12"/>
      <c r="H15" s="12"/>
      <c r="I15" s="12"/>
      <c r="J15" s="12">
        <v>3206</v>
      </c>
      <c r="K15" s="16" t="s">
        <v>897</v>
      </c>
      <c r="M15" s="16">
        <v>1432</v>
      </c>
      <c r="N15" s="16">
        <f t="shared" si="0"/>
        <v>4638</v>
      </c>
      <c r="P15" s="11" t="s">
        <v>41</v>
      </c>
      <c r="Q15" s="11" t="s">
        <v>27</v>
      </c>
      <c r="R15" s="12">
        <v>70361</v>
      </c>
      <c r="S15" s="12">
        <v>266800</v>
      </c>
      <c r="T15" s="12">
        <v>17192</v>
      </c>
      <c r="U15" s="12">
        <v>354353</v>
      </c>
    </row>
    <row r="16" spans="1:21">
      <c r="A16" s="11" t="s">
        <v>25</v>
      </c>
      <c r="B16" s="11" t="s">
        <v>26</v>
      </c>
      <c r="C16" s="11" t="s">
        <v>27</v>
      </c>
      <c r="D16" s="11" t="s">
        <v>83</v>
      </c>
      <c r="E16" s="11" t="s">
        <v>278</v>
      </c>
      <c r="F16" s="12">
        <v>6790</v>
      </c>
      <c r="G16" s="12"/>
      <c r="H16" s="12"/>
      <c r="I16" s="12"/>
      <c r="J16" s="12">
        <v>6790</v>
      </c>
      <c r="K16" s="16" t="s">
        <v>410</v>
      </c>
      <c r="M16" s="16">
        <v>0</v>
      </c>
      <c r="N16" s="16">
        <f t="shared" si="0"/>
        <v>6790</v>
      </c>
      <c r="P16" s="11" t="s">
        <v>39</v>
      </c>
      <c r="Q16" s="11" t="s">
        <v>27</v>
      </c>
      <c r="R16" s="12">
        <v>38406</v>
      </c>
      <c r="S16" s="12">
        <v>405350</v>
      </c>
      <c r="T16" s="12">
        <v>126857</v>
      </c>
      <c r="U16" s="12">
        <v>570613</v>
      </c>
    </row>
    <row r="17" spans="1:21">
      <c r="A17" s="11" t="s">
        <v>25</v>
      </c>
      <c r="B17" s="11" t="s">
        <v>26</v>
      </c>
      <c r="C17" s="11" t="s">
        <v>27</v>
      </c>
      <c r="D17" s="11" t="s">
        <v>84</v>
      </c>
      <c r="E17" s="11" t="s">
        <v>240</v>
      </c>
      <c r="F17" s="12">
        <v>21</v>
      </c>
      <c r="G17" s="12"/>
      <c r="H17" s="12"/>
      <c r="I17" s="12"/>
      <c r="J17" s="12">
        <v>21</v>
      </c>
      <c r="K17" s="16" t="s">
        <v>410</v>
      </c>
      <c r="M17" s="16">
        <v>0</v>
      </c>
      <c r="N17" s="16">
        <f t="shared" si="0"/>
        <v>21</v>
      </c>
      <c r="P17" s="11" t="s">
        <v>46</v>
      </c>
      <c r="Q17" s="11"/>
      <c r="R17" s="12">
        <v>18792</v>
      </c>
      <c r="S17" s="12">
        <v>32282</v>
      </c>
      <c r="T17" s="12">
        <v>300</v>
      </c>
      <c r="U17" s="12">
        <v>51374</v>
      </c>
    </row>
    <row r="18" spans="1:21">
      <c r="A18" s="11" t="s">
        <v>30</v>
      </c>
      <c r="B18" s="11" t="s">
        <v>31</v>
      </c>
      <c r="C18" s="11" t="s">
        <v>20</v>
      </c>
      <c r="D18" s="11" t="s">
        <v>71</v>
      </c>
      <c r="E18" s="11" t="s">
        <v>220</v>
      </c>
      <c r="F18" s="12">
        <v>16</v>
      </c>
      <c r="G18" s="12"/>
      <c r="H18" s="12"/>
      <c r="I18" s="12"/>
      <c r="J18" s="12">
        <v>16</v>
      </c>
      <c r="K18" s="16" t="s">
        <v>897</v>
      </c>
      <c r="M18" s="16">
        <v>2871</v>
      </c>
      <c r="N18" s="16">
        <f t="shared" si="0"/>
        <v>2887</v>
      </c>
      <c r="P18" s="11" t="s">
        <v>43</v>
      </c>
      <c r="Q18" s="11"/>
      <c r="R18" s="12">
        <v>70651</v>
      </c>
      <c r="S18" s="12">
        <v>187350</v>
      </c>
      <c r="T18" s="12">
        <v>53467</v>
      </c>
      <c r="U18" s="12">
        <v>311468</v>
      </c>
    </row>
    <row r="19" spans="1:21">
      <c r="A19" s="11" t="s">
        <v>30</v>
      </c>
      <c r="B19" s="11" t="s">
        <v>31</v>
      </c>
      <c r="C19" s="11" t="s">
        <v>20</v>
      </c>
      <c r="D19" s="11" t="s">
        <v>72</v>
      </c>
      <c r="E19" s="11" t="s">
        <v>220</v>
      </c>
      <c r="F19" s="12">
        <v>6528</v>
      </c>
      <c r="G19" s="12"/>
      <c r="H19" s="12"/>
      <c r="I19" s="12"/>
      <c r="J19" s="12">
        <v>6528</v>
      </c>
      <c r="K19" s="16" t="s">
        <v>897</v>
      </c>
      <c r="M19" s="16">
        <v>8884</v>
      </c>
      <c r="N19" s="16">
        <f t="shared" si="0"/>
        <v>15412</v>
      </c>
      <c r="P19" s="11" t="s">
        <v>104</v>
      </c>
      <c r="Q19" s="11"/>
      <c r="R19" s="12">
        <v>326758</v>
      </c>
      <c r="S19" s="12">
        <v>2537597</v>
      </c>
      <c r="T19" s="12">
        <v>1426878</v>
      </c>
      <c r="U19" s="12">
        <v>4291233</v>
      </c>
    </row>
    <row r="20" spans="1:14">
      <c r="A20" s="11" t="s">
        <v>25</v>
      </c>
      <c r="B20" s="11" t="s">
        <v>26</v>
      </c>
      <c r="C20" s="11" t="s">
        <v>27</v>
      </c>
      <c r="D20" s="11" t="s">
        <v>85</v>
      </c>
      <c r="E20" s="11" t="s">
        <v>278</v>
      </c>
      <c r="F20" s="12">
        <v>5741</v>
      </c>
      <c r="G20" s="12"/>
      <c r="H20" s="12"/>
      <c r="I20" s="12">
        <v>2458</v>
      </c>
      <c r="J20" s="12">
        <v>8199</v>
      </c>
      <c r="K20" s="16" t="s">
        <v>410</v>
      </c>
      <c r="M20" s="16">
        <v>6700</v>
      </c>
      <c r="N20" s="16">
        <f t="shared" si="0"/>
        <v>14899</v>
      </c>
    </row>
    <row r="21" spans="1:14">
      <c r="A21" s="11" t="s">
        <v>25</v>
      </c>
      <c r="B21" s="11" t="s">
        <v>26</v>
      </c>
      <c r="C21" s="11" t="s">
        <v>27</v>
      </c>
      <c r="D21" s="11" t="s">
        <v>86</v>
      </c>
      <c r="E21" s="11" t="s">
        <v>240</v>
      </c>
      <c r="F21" s="12">
        <v>96</v>
      </c>
      <c r="G21" s="12"/>
      <c r="H21" s="12"/>
      <c r="I21" s="12"/>
      <c r="J21" s="12">
        <v>96</v>
      </c>
      <c r="K21" s="16" t="s">
        <v>410</v>
      </c>
      <c r="M21" s="16">
        <v>0</v>
      </c>
      <c r="N21" s="16">
        <f t="shared" si="0"/>
        <v>96</v>
      </c>
    </row>
    <row r="22" spans="1:14">
      <c r="A22" s="11" t="s">
        <v>23</v>
      </c>
      <c r="B22" s="11" t="s">
        <v>24</v>
      </c>
      <c r="C22" s="11" t="s">
        <v>20</v>
      </c>
      <c r="D22" s="11" t="s">
        <v>755</v>
      </c>
      <c r="E22" s="11" t="s">
        <v>220</v>
      </c>
      <c r="F22" s="12">
        <v>1300</v>
      </c>
      <c r="G22" s="12"/>
      <c r="H22" s="12"/>
      <c r="I22" s="12"/>
      <c r="J22" s="12">
        <v>1300</v>
      </c>
      <c r="K22" s="16" t="s">
        <v>897</v>
      </c>
      <c r="M22" s="16">
        <v>0</v>
      </c>
      <c r="N22" s="16">
        <f t="shared" si="0"/>
        <v>1300</v>
      </c>
    </row>
    <row r="23" spans="1:14">
      <c r="A23" s="11" t="s">
        <v>25</v>
      </c>
      <c r="B23" s="11" t="s">
        <v>26</v>
      </c>
      <c r="C23" s="11" t="s">
        <v>27</v>
      </c>
      <c r="D23" s="11" t="s">
        <v>284</v>
      </c>
      <c r="E23" s="11" t="s">
        <v>229</v>
      </c>
      <c r="F23" s="12"/>
      <c r="G23" s="12"/>
      <c r="H23" s="12">
        <v>3548</v>
      </c>
      <c r="I23" s="12">
        <v>1036</v>
      </c>
      <c r="J23" s="12">
        <v>4584</v>
      </c>
      <c r="K23" s="16" t="s">
        <v>410</v>
      </c>
      <c r="M23" s="16">
        <v>0</v>
      </c>
      <c r="N23" s="16">
        <f t="shared" si="0"/>
        <v>4584</v>
      </c>
    </row>
    <row r="24" spans="1:14">
      <c r="A24" s="11" t="s">
        <v>25</v>
      </c>
      <c r="B24" s="11" t="s">
        <v>26</v>
      </c>
      <c r="C24" s="11" t="s">
        <v>27</v>
      </c>
      <c r="D24" s="11" t="s">
        <v>87</v>
      </c>
      <c r="E24" s="11" t="s">
        <v>279</v>
      </c>
      <c r="F24" s="12">
        <v>6223</v>
      </c>
      <c r="G24" s="12">
        <v>2000</v>
      </c>
      <c r="H24" s="12"/>
      <c r="I24" s="12"/>
      <c r="J24" s="12">
        <v>8223</v>
      </c>
      <c r="K24" s="16" t="s">
        <v>410</v>
      </c>
      <c r="M24" s="16">
        <v>9776</v>
      </c>
      <c r="N24" s="16">
        <f t="shared" si="0"/>
        <v>17999</v>
      </c>
    </row>
    <row r="25" spans="1:14">
      <c r="A25" s="11" t="s">
        <v>18</v>
      </c>
      <c r="B25" s="11" t="s">
        <v>19</v>
      </c>
      <c r="C25" s="11" t="s">
        <v>20</v>
      </c>
      <c r="D25" s="11" t="s">
        <v>102</v>
      </c>
      <c r="E25" s="11" t="s">
        <v>273</v>
      </c>
      <c r="F25" s="12">
        <v>50000</v>
      </c>
      <c r="G25" s="12">
        <v>2456</v>
      </c>
      <c r="H25" s="12"/>
      <c r="I25" s="12"/>
      <c r="J25" s="12">
        <v>52456</v>
      </c>
      <c r="K25" s="16" t="s">
        <v>410</v>
      </c>
      <c r="M25" s="16">
        <v>0</v>
      </c>
      <c r="N25" s="16">
        <f t="shared" si="0"/>
        <v>52456</v>
      </c>
    </row>
    <row r="26" spans="1:14">
      <c r="A26" s="11" t="s">
        <v>25</v>
      </c>
      <c r="B26" s="11" t="s">
        <v>26</v>
      </c>
      <c r="C26" s="11" t="s">
        <v>27</v>
      </c>
      <c r="D26" s="11" t="s">
        <v>88</v>
      </c>
      <c r="E26" s="11" t="s">
        <v>229</v>
      </c>
      <c r="F26" s="12">
        <v>3180</v>
      </c>
      <c r="G26" s="12">
        <v>3368</v>
      </c>
      <c r="H26" s="12"/>
      <c r="I26" s="12"/>
      <c r="J26" s="12">
        <v>6548</v>
      </c>
      <c r="K26" s="16" t="s">
        <v>410</v>
      </c>
      <c r="M26" s="16">
        <v>2268</v>
      </c>
      <c r="N26" s="16">
        <f t="shared" si="0"/>
        <v>8816</v>
      </c>
    </row>
    <row r="27" spans="1:14">
      <c r="A27" s="11" t="s">
        <v>25</v>
      </c>
      <c r="B27" s="11" t="s">
        <v>26</v>
      </c>
      <c r="C27" s="11" t="s">
        <v>27</v>
      </c>
      <c r="D27" s="11" t="s">
        <v>89</v>
      </c>
      <c r="E27" s="11" t="s">
        <v>229</v>
      </c>
      <c r="F27" s="12">
        <v>22</v>
      </c>
      <c r="G27" s="12"/>
      <c r="H27" s="12"/>
      <c r="I27" s="12"/>
      <c r="J27" s="12">
        <v>22</v>
      </c>
      <c r="K27" s="16" t="s">
        <v>410</v>
      </c>
      <c r="M27" s="16">
        <v>0</v>
      </c>
      <c r="N27" s="16">
        <f t="shared" si="0"/>
        <v>22</v>
      </c>
    </row>
    <row r="28" spans="1:14">
      <c r="A28" s="11" t="s">
        <v>42</v>
      </c>
      <c r="B28" s="11" t="s">
        <v>298</v>
      </c>
      <c r="C28" s="11"/>
      <c r="D28" s="11" t="s">
        <v>314</v>
      </c>
      <c r="E28" s="11" t="s">
        <v>315</v>
      </c>
      <c r="F28" s="12">
        <v>69226</v>
      </c>
      <c r="G28" s="12">
        <v>4126</v>
      </c>
      <c r="H28" s="12"/>
      <c r="I28" s="12"/>
      <c r="J28" s="12">
        <v>73352</v>
      </c>
      <c r="K28" s="16" t="s">
        <v>897</v>
      </c>
      <c r="M28" s="16">
        <v>3610</v>
      </c>
      <c r="N28" s="16">
        <f t="shared" si="0"/>
        <v>76962</v>
      </c>
    </row>
    <row r="29" spans="1:14">
      <c r="A29" s="11" t="s">
        <v>42</v>
      </c>
      <c r="B29" s="11" t="s">
        <v>298</v>
      </c>
      <c r="C29" s="11"/>
      <c r="D29" s="11" t="s">
        <v>321</v>
      </c>
      <c r="E29" s="11" t="s">
        <v>318</v>
      </c>
      <c r="F29" s="12">
        <v>5090</v>
      </c>
      <c r="G29" s="12"/>
      <c r="H29" s="12"/>
      <c r="I29" s="12"/>
      <c r="J29" s="12">
        <v>5090</v>
      </c>
      <c r="K29" s="16" t="s">
        <v>897</v>
      </c>
      <c r="M29" s="16">
        <v>7080</v>
      </c>
      <c r="N29" s="16">
        <f t="shared" si="0"/>
        <v>12170</v>
      </c>
    </row>
    <row r="30" spans="1:14">
      <c r="A30" s="11" t="s">
        <v>42</v>
      </c>
      <c r="B30" s="11" t="s">
        <v>298</v>
      </c>
      <c r="C30" s="11"/>
      <c r="D30" s="11" t="s">
        <v>322</v>
      </c>
      <c r="E30" s="11" t="s">
        <v>323</v>
      </c>
      <c r="F30" s="12">
        <v>2987</v>
      </c>
      <c r="G30" s="12"/>
      <c r="H30" s="12"/>
      <c r="I30" s="12"/>
      <c r="J30" s="12">
        <v>2987</v>
      </c>
      <c r="K30" s="16" t="s">
        <v>897</v>
      </c>
      <c r="M30" s="16">
        <v>5800</v>
      </c>
      <c r="N30" s="16">
        <f t="shared" si="0"/>
        <v>8787</v>
      </c>
    </row>
    <row r="31" spans="1:14">
      <c r="A31" s="11" t="s">
        <v>42</v>
      </c>
      <c r="B31" s="11" t="s">
        <v>298</v>
      </c>
      <c r="C31" s="11"/>
      <c r="D31" s="11" t="s">
        <v>317</v>
      </c>
      <c r="E31" s="11" t="s">
        <v>318</v>
      </c>
      <c r="F31" s="12">
        <v>25800</v>
      </c>
      <c r="G31" s="12">
        <v>27500</v>
      </c>
      <c r="H31" s="12"/>
      <c r="I31" s="12"/>
      <c r="J31" s="12">
        <v>53300</v>
      </c>
      <c r="K31" s="16" t="s">
        <v>897</v>
      </c>
      <c r="M31" s="16">
        <v>11360</v>
      </c>
      <c r="N31" s="16">
        <f t="shared" si="0"/>
        <v>64660</v>
      </c>
    </row>
    <row r="32" spans="1:14">
      <c r="A32" s="11" t="s">
        <v>25</v>
      </c>
      <c r="B32" s="11" t="s">
        <v>26</v>
      </c>
      <c r="C32" s="11" t="s">
        <v>27</v>
      </c>
      <c r="D32" s="11" t="s">
        <v>282</v>
      </c>
      <c r="E32" s="11" t="s">
        <v>283</v>
      </c>
      <c r="F32" s="12"/>
      <c r="G32" s="12">
        <v>1978</v>
      </c>
      <c r="H32" s="12">
        <v>10717</v>
      </c>
      <c r="I32" s="12">
        <v>1036</v>
      </c>
      <c r="J32" s="12">
        <v>13731</v>
      </c>
      <c r="K32" s="16" t="s">
        <v>410</v>
      </c>
      <c r="M32" s="16">
        <v>0</v>
      </c>
      <c r="N32" s="16">
        <f t="shared" si="0"/>
        <v>13731</v>
      </c>
    </row>
    <row r="33" spans="1:14">
      <c r="A33" s="11" t="s">
        <v>25</v>
      </c>
      <c r="B33" s="11" t="s">
        <v>26</v>
      </c>
      <c r="C33" s="11" t="s">
        <v>27</v>
      </c>
      <c r="D33" s="11" t="s">
        <v>90</v>
      </c>
      <c r="E33" s="11" t="s">
        <v>269</v>
      </c>
      <c r="F33" s="12">
        <v>1155</v>
      </c>
      <c r="G33" s="12">
        <v>6682</v>
      </c>
      <c r="H33" s="12"/>
      <c r="I33" s="12"/>
      <c r="J33" s="12">
        <v>7837</v>
      </c>
      <c r="K33" s="16" t="s">
        <v>410</v>
      </c>
      <c r="M33" s="16">
        <v>0</v>
      </c>
      <c r="N33" s="16">
        <f t="shared" si="0"/>
        <v>7837</v>
      </c>
    </row>
    <row r="34" spans="1:14">
      <c r="A34" s="11" t="s">
        <v>40</v>
      </c>
      <c r="B34" s="11" t="s">
        <v>41</v>
      </c>
      <c r="C34" s="11" t="s">
        <v>27</v>
      </c>
      <c r="D34" s="11" t="s">
        <v>898</v>
      </c>
      <c r="E34" s="11" t="s">
        <v>269</v>
      </c>
      <c r="F34" s="12"/>
      <c r="G34" s="12">
        <v>508</v>
      </c>
      <c r="H34" s="12"/>
      <c r="I34" s="12"/>
      <c r="J34" s="12">
        <v>508</v>
      </c>
      <c r="K34" s="16" t="s">
        <v>897</v>
      </c>
      <c r="M34" s="16">
        <v>0</v>
      </c>
      <c r="N34" s="16">
        <f t="shared" si="0"/>
        <v>508</v>
      </c>
    </row>
    <row r="35" spans="1:14">
      <c r="A35" s="11" t="s">
        <v>23</v>
      </c>
      <c r="B35" s="11" t="s">
        <v>24</v>
      </c>
      <c r="C35" s="11" t="s">
        <v>20</v>
      </c>
      <c r="D35" s="11" t="s">
        <v>91</v>
      </c>
      <c r="E35" s="11" t="s">
        <v>269</v>
      </c>
      <c r="F35" s="12">
        <v>1614</v>
      </c>
      <c r="G35" s="12"/>
      <c r="H35" s="12"/>
      <c r="I35" s="12"/>
      <c r="J35" s="12">
        <v>1614</v>
      </c>
      <c r="K35" s="16" t="s">
        <v>897</v>
      </c>
      <c r="M35" s="16">
        <v>0</v>
      </c>
      <c r="N35" s="16">
        <f t="shared" si="0"/>
        <v>1614</v>
      </c>
    </row>
    <row r="36" spans="1:14">
      <c r="A36" s="11" t="s">
        <v>23</v>
      </c>
      <c r="B36" s="11" t="s">
        <v>24</v>
      </c>
      <c r="C36" s="11" t="s">
        <v>20</v>
      </c>
      <c r="D36" s="11" t="s">
        <v>92</v>
      </c>
      <c r="E36" s="11" t="s">
        <v>254</v>
      </c>
      <c r="F36" s="12">
        <v>5900</v>
      </c>
      <c r="G36" s="12"/>
      <c r="H36" s="12"/>
      <c r="I36" s="12"/>
      <c r="J36" s="12">
        <v>5900</v>
      </c>
      <c r="K36" s="16" t="s">
        <v>897</v>
      </c>
      <c r="M36" s="16">
        <v>0</v>
      </c>
      <c r="N36" s="16">
        <f t="shared" si="0"/>
        <v>5900</v>
      </c>
    </row>
    <row r="37" spans="1:14">
      <c r="A37" s="11" t="s">
        <v>25</v>
      </c>
      <c r="B37" s="11" t="s">
        <v>26</v>
      </c>
      <c r="C37" s="11" t="s">
        <v>27</v>
      </c>
      <c r="D37" s="11" t="s">
        <v>141</v>
      </c>
      <c r="E37" s="11" t="s">
        <v>248</v>
      </c>
      <c r="F37" s="12">
        <v>15800</v>
      </c>
      <c r="G37" s="12">
        <v>171000</v>
      </c>
      <c r="H37" s="12"/>
      <c r="I37" s="12"/>
      <c r="J37" s="12">
        <v>186800</v>
      </c>
      <c r="K37" s="16" t="s">
        <v>340</v>
      </c>
      <c r="M37" s="16">
        <v>0</v>
      </c>
      <c r="N37" s="16">
        <f t="shared" si="0"/>
        <v>186800</v>
      </c>
    </row>
    <row r="38" spans="1:14">
      <c r="A38" s="11" t="s">
        <v>25</v>
      </c>
      <c r="B38" s="11" t="s">
        <v>26</v>
      </c>
      <c r="C38" s="11" t="s">
        <v>27</v>
      </c>
      <c r="D38" s="11" t="s">
        <v>142</v>
      </c>
      <c r="E38" s="11" t="s">
        <v>258</v>
      </c>
      <c r="F38" s="12">
        <v>3668</v>
      </c>
      <c r="G38" s="12">
        <v>2300</v>
      </c>
      <c r="H38" s="12"/>
      <c r="I38" s="12"/>
      <c r="J38" s="12">
        <v>5968</v>
      </c>
      <c r="K38" s="16" t="s">
        <v>340</v>
      </c>
      <c r="M38" s="16">
        <v>0</v>
      </c>
      <c r="N38" s="16">
        <f t="shared" si="0"/>
        <v>5968</v>
      </c>
    </row>
    <row r="39" spans="1:14">
      <c r="A39" s="11" t="s">
        <v>25</v>
      </c>
      <c r="B39" s="11" t="s">
        <v>26</v>
      </c>
      <c r="C39" s="11" t="s">
        <v>27</v>
      </c>
      <c r="D39" s="11" t="s">
        <v>143</v>
      </c>
      <c r="E39" s="11" t="s">
        <v>258</v>
      </c>
      <c r="F39" s="12">
        <v>94200</v>
      </c>
      <c r="G39" s="12">
        <v>22800</v>
      </c>
      <c r="H39" s="12"/>
      <c r="I39" s="12"/>
      <c r="J39" s="12">
        <v>117000</v>
      </c>
      <c r="K39" s="16" t="s">
        <v>340</v>
      </c>
      <c r="M39" s="16">
        <v>0</v>
      </c>
      <c r="N39" s="16">
        <f t="shared" si="0"/>
        <v>117000</v>
      </c>
    </row>
    <row r="40" spans="1:14">
      <c r="A40" s="11" t="s">
        <v>36</v>
      </c>
      <c r="B40" s="11" t="s">
        <v>37</v>
      </c>
      <c r="C40" s="11" t="s">
        <v>27</v>
      </c>
      <c r="D40" s="11" t="s">
        <v>237</v>
      </c>
      <c r="E40" s="11" t="s">
        <v>229</v>
      </c>
      <c r="F40" s="12"/>
      <c r="G40" s="12">
        <v>1500</v>
      </c>
      <c r="H40" s="12"/>
      <c r="I40" s="12"/>
      <c r="J40" s="12">
        <v>1500</v>
      </c>
      <c r="K40" s="16" t="s">
        <v>340</v>
      </c>
      <c r="M40" s="16">
        <v>0</v>
      </c>
      <c r="N40" s="16">
        <f t="shared" si="0"/>
        <v>1500</v>
      </c>
    </row>
    <row r="41" spans="1:14">
      <c r="A41" s="11" t="s">
        <v>32</v>
      </c>
      <c r="B41" s="11" t="s">
        <v>33</v>
      </c>
      <c r="C41" s="11" t="s">
        <v>27</v>
      </c>
      <c r="D41" s="11" t="s">
        <v>120</v>
      </c>
      <c r="E41" s="11" t="s">
        <v>220</v>
      </c>
      <c r="F41" s="12">
        <v>8000</v>
      </c>
      <c r="G41" s="12">
        <v>11000</v>
      </c>
      <c r="H41" s="12"/>
      <c r="I41" s="12"/>
      <c r="J41" s="12">
        <v>19000</v>
      </c>
      <c r="K41" s="16" t="s">
        <v>340</v>
      </c>
      <c r="M41" s="16">
        <v>0</v>
      </c>
      <c r="N41" s="16">
        <f t="shared" si="0"/>
        <v>19000</v>
      </c>
    </row>
    <row r="42" spans="1:14">
      <c r="A42" s="11" t="s">
        <v>32</v>
      </c>
      <c r="B42" s="11" t="s">
        <v>33</v>
      </c>
      <c r="C42" s="11" t="s">
        <v>27</v>
      </c>
      <c r="D42" s="11" t="s">
        <v>121</v>
      </c>
      <c r="E42" s="11" t="s">
        <v>220</v>
      </c>
      <c r="F42" s="12">
        <v>25052</v>
      </c>
      <c r="G42" s="12">
        <v>16400</v>
      </c>
      <c r="H42" s="12"/>
      <c r="I42" s="12"/>
      <c r="J42" s="12">
        <v>41452</v>
      </c>
      <c r="K42" s="16" t="s">
        <v>340</v>
      </c>
      <c r="M42" s="16">
        <v>0</v>
      </c>
      <c r="N42" s="16">
        <f t="shared" si="0"/>
        <v>41452</v>
      </c>
    </row>
    <row r="43" spans="1:14">
      <c r="A43" s="11" t="s">
        <v>34</v>
      </c>
      <c r="B43" s="11" t="s">
        <v>35</v>
      </c>
      <c r="C43" s="11" t="s">
        <v>27</v>
      </c>
      <c r="D43" s="11" t="s">
        <v>106</v>
      </c>
      <c r="E43" s="11" t="s">
        <v>220</v>
      </c>
      <c r="F43" s="12">
        <v>4000</v>
      </c>
      <c r="G43" s="12">
        <v>1900</v>
      </c>
      <c r="H43" s="12"/>
      <c r="I43" s="12"/>
      <c r="J43" s="12">
        <v>5900</v>
      </c>
      <c r="K43" s="16" t="s">
        <v>340</v>
      </c>
      <c r="M43" s="16">
        <v>0</v>
      </c>
      <c r="N43" s="16">
        <f t="shared" si="0"/>
        <v>5900</v>
      </c>
    </row>
    <row r="44" spans="1:14">
      <c r="A44" s="11" t="s">
        <v>40</v>
      </c>
      <c r="B44" s="11" t="s">
        <v>41</v>
      </c>
      <c r="C44" s="11" t="s">
        <v>27</v>
      </c>
      <c r="D44" s="11" t="s">
        <v>312</v>
      </c>
      <c r="E44" s="11" t="s">
        <v>313</v>
      </c>
      <c r="F44" s="12">
        <v>2300</v>
      </c>
      <c r="G44" s="12">
        <v>750</v>
      </c>
      <c r="H44" s="12"/>
      <c r="I44" s="12"/>
      <c r="J44" s="12">
        <v>3050</v>
      </c>
      <c r="K44" s="16" t="s">
        <v>897</v>
      </c>
      <c r="M44" s="16">
        <v>0</v>
      </c>
      <c r="N44" s="16">
        <f t="shared" si="0"/>
        <v>3050</v>
      </c>
    </row>
    <row r="45" spans="1:14">
      <c r="A45" s="11" t="s">
        <v>34</v>
      </c>
      <c r="B45" s="11" t="s">
        <v>35</v>
      </c>
      <c r="C45" s="11" t="s">
        <v>27</v>
      </c>
      <c r="D45" s="11" t="s">
        <v>107</v>
      </c>
      <c r="E45" s="11" t="s">
        <v>220</v>
      </c>
      <c r="F45" s="12">
        <v>21927</v>
      </c>
      <c r="G45" s="12">
        <v>5800</v>
      </c>
      <c r="H45" s="12"/>
      <c r="I45" s="12"/>
      <c r="J45" s="12">
        <v>27727</v>
      </c>
      <c r="K45" s="16" t="s">
        <v>340</v>
      </c>
      <c r="M45" s="16">
        <v>0</v>
      </c>
      <c r="N45" s="16">
        <f t="shared" si="0"/>
        <v>27727</v>
      </c>
    </row>
    <row r="46" spans="1:14">
      <c r="A46" s="11" t="s">
        <v>38</v>
      </c>
      <c r="B46" s="11" t="s">
        <v>39</v>
      </c>
      <c r="C46" s="11" t="s">
        <v>27</v>
      </c>
      <c r="D46" s="11" t="s">
        <v>301</v>
      </c>
      <c r="E46" s="11" t="s">
        <v>302</v>
      </c>
      <c r="F46" s="12">
        <v>5780</v>
      </c>
      <c r="G46" s="12">
        <v>2300</v>
      </c>
      <c r="H46" s="12">
        <v>1000</v>
      </c>
      <c r="I46" s="12"/>
      <c r="J46" s="12">
        <v>9080</v>
      </c>
      <c r="K46" s="16" t="s">
        <v>897</v>
      </c>
      <c r="M46" s="16">
        <v>10320</v>
      </c>
      <c r="N46" s="16">
        <f t="shared" si="0"/>
        <v>19400</v>
      </c>
    </row>
    <row r="47" spans="1:14">
      <c r="A47" s="11" t="s">
        <v>25</v>
      </c>
      <c r="B47" s="11" t="s">
        <v>26</v>
      </c>
      <c r="C47" s="11" t="s">
        <v>27</v>
      </c>
      <c r="D47" s="11" t="s">
        <v>144</v>
      </c>
      <c r="E47" s="11" t="s">
        <v>259</v>
      </c>
      <c r="F47" s="12">
        <v>21520</v>
      </c>
      <c r="G47" s="12">
        <v>20000</v>
      </c>
      <c r="H47" s="12">
        <v>12733</v>
      </c>
      <c r="I47" s="12"/>
      <c r="J47" s="12">
        <v>54253</v>
      </c>
      <c r="K47" s="16" t="s">
        <v>340</v>
      </c>
      <c r="M47" s="16">
        <v>0</v>
      </c>
      <c r="N47" s="16">
        <f t="shared" si="0"/>
        <v>54253</v>
      </c>
    </row>
    <row r="48" spans="1:14">
      <c r="A48" s="11" t="s">
        <v>25</v>
      </c>
      <c r="B48" s="11" t="s">
        <v>26</v>
      </c>
      <c r="C48" s="11" t="s">
        <v>27</v>
      </c>
      <c r="D48" s="11" t="s">
        <v>145</v>
      </c>
      <c r="E48" s="11" t="s">
        <v>256</v>
      </c>
      <c r="F48" s="12">
        <v>20314</v>
      </c>
      <c r="G48" s="12">
        <v>16634</v>
      </c>
      <c r="H48" s="12"/>
      <c r="I48" s="12"/>
      <c r="J48" s="12">
        <v>36948</v>
      </c>
      <c r="K48" s="16" t="s">
        <v>340</v>
      </c>
      <c r="M48" s="16">
        <v>0</v>
      </c>
      <c r="N48" s="16">
        <f t="shared" si="0"/>
        <v>36948</v>
      </c>
    </row>
    <row r="49" spans="1:14">
      <c r="A49" s="11" t="s">
        <v>38</v>
      </c>
      <c r="B49" s="11" t="s">
        <v>39</v>
      </c>
      <c r="C49" s="11" t="s">
        <v>27</v>
      </c>
      <c r="D49" s="11" t="s">
        <v>326</v>
      </c>
      <c r="E49" s="11" t="s">
        <v>229</v>
      </c>
      <c r="F49" s="12">
        <v>30966</v>
      </c>
      <c r="G49" s="12">
        <v>6000</v>
      </c>
      <c r="H49" s="12"/>
      <c r="I49" s="12"/>
      <c r="J49" s="12">
        <v>36966</v>
      </c>
      <c r="K49" s="16" t="s">
        <v>897</v>
      </c>
      <c r="M49" s="16">
        <v>860</v>
      </c>
      <c r="N49" s="16">
        <f t="shared" si="0"/>
        <v>37826</v>
      </c>
    </row>
    <row r="50" spans="1:14">
      <c r="A50" s="11" t="s">
        <v>34</v>
      </c>
      <c r="B50" s="11" t="s">
        <v>35</v>
      </c>
      <c r="C50" s="11" t="s">
        <v>27</v>
      </c>
      <c r="D50" s="11" t="s">
        <v>108</v>
      </c>
      <c r="E50" s="11" t="s">
        <v>220</v>
      </c>
      <c r="F50" s="12">
        <v>39375</v>
      </c>
      <c r="G50" s="12">
        <v>3200</v>
      </c>
      <c r="H50" s="12"/>
      <c r="I50" s="12"/>
      <c r="J50" s="12">
        <v>42575</v>
      </c>
      <c r="K50" s="16" t="s">
        <v>340</v>
      </c>
      <c r="M50" s="16">
        <v>0</v>
      </c>
      <c r="N50" s="16">
        <f t="shared" si="0"/>
        <v>42575</v>
      </c>
    </row>
    <row r="51" spans="1:14">
      <c r="A51" s="11" t="s">
        <v>25</v>
      </c>
      <c r="B51" s="11" t="s">
        <v>26</v>
      </c>
      <c r="C51" s="11" t="s">
        <v>27</v>
      </c>
      <c r="D51" s="11" t="s">
        <v>146</v>
      </c>
      <c r="E51" s="11" t="s">
        <v>229</v>
      </c>
      <c r="F51" s="12">
        <v>6048</v>
      </c>
      <c r="G51" s="12">
        <v>24684</v>
      </c>
      <c r="H51" s="12"/>
      <c r="I51" s="12"/>
      <c r="J51" s="12">
        <v>30732</v>
      </c>
      <c r="K51" s="16" t="s">
        <v>340</v>
      </c>
      <c r="M51" s="16">
        <v>0</v>
      </c>
      <c r="N51" s="16">
        <f t="shared" si="0"/>
        <v>30732</v>
      </c>
    </row>
    <row r="52" spans="1:14">
      <c r="A52" s="11" t="s">
        <v>38</v>
      </c>
      <c r="B52" s="11" t="s">
        <v>39</v>
      </c>
      <c r="C52" s="11" t="s">
        <v>27</v>
      </c>
      <c r="D52" s="11" t="s">
        <v>899</v>
      </c>
      <c r="E52" s="11" t="s">
        <v>220</v>
      </c>
      <c r="F52" s="12">
        <v>5900</v>
      </c>
      <c r="G52" s="12"/>
      <c r="H52" s="12"/>
      <c r="I52" s="12"/>
      <c r="J52" s="12">
        <v>5900</v>
      </c>
      <c r="K52" s="16" t="s">
        <v>897</v>
      </c>
      <c r="M52" s="16">
        <v>0</v>
      </c>
      <c r="N52" s="16">
        <f t="shared" si="0"/>
        <v>5900</v>
      </c>
    </row>
    <row r="53" spans="1:14">
      <c r="A53" s="11" t="s">
        <v>40</v>
      </c>
      <c r="B53" s="11" t="s">
        <v>41</v>
      </c>
      <c r="C53" s="11" t="s">
        <v>27</v>
      </c>
      <c r="D53" s="11" t="s">
        <v>900</v>
      </c>
      <c r="E53" s="11" t="s">
        <v>228</v>
      </c>
      <c r="F53" s="12">
        <v>11820</v>
      </c>
      <c r="G53" s="12"/>
      <c r="H53" s="12"/>
      <c r="I53" s="12"/>
      <c r="J53" s="12">
        <v>11820</v>
      </c>
      <c r="K53" s="16" t="s">
        <v>340</v>
      </c>
      <c r="M53" s="16">
        <v>0</v>
      </c>
      <c r="N53" s="16">
        <f t="shared" si="0"/>
        <v>11820</v>
      </c>
    </row>
    <row r="54" spans="1:14">
      <c r="A54" s="11" t="s">
        <v>23</v>
      </c>
      <c r="B54" s="11" t="s">
        <v>24</v>
      </c>
      <c r="C54" s="11" t="s">
        <v>20</v>
      </c>
      <c r="D54" s="11" t="s">
        <v>93</v>
      </c>
      <c r="E54" s="11" t="s">
        <v>220</v>
      </c>
      <c r="F54" s="12">
        <v>6300</v>
      </c>
      <c r="G54" s="12"/>
      <c r="H54" s="12"/>
      <c r="I54" s="12"/>
      <c r="J54" s="12">
        <v>6300</v>
      </c>
      <c r="K54" s="16" t="s">
        <v>897</v>
      </c>
      <c r="M54" s="16">
        <v>3100</v>
      </c>
      <c r="N54" s="16">
        <f t="shared" si="0"/>
        <v>9400</v>
      </c>
    </row>
    <row r="55" spans="1:14">
      <c r="A55" s="11" t="s">
        <v>18</v>
      </c>
      <c r="B55" s="11" t="s">
        <v>19</v>
      </c>
      <c r="C55" s="11" t="s">
        <v>20</v>
      </c>
      <c r="D55" s="11" t="s">
        <v>163</v>
      </c>
      <c r="E55" s="11" t="s">
        <v>243</v>
      </c>
      <c r="F55" s="12">
        <v>6480</v>
      </c>
      <c r="G55" s="12"/>
      <c r="H55" s="12"/>
      <c r="I55" s="12"/>
      <c r="J55" s="12">
        <v>6480</v>
      </c>
      <c r="K55" s="16" t="s">
        <v>340</v>
      </c>
      <c r="M55" s="16">
        <v>0</v>
      </c>
      <c r="N55" s="16">
        <f t="shared" si="0"/>
        <v>6480</v>
      </c>
    </row>
    <row r="56" spans="1:14">
      <c r="A56" s="11" t="s">
        <v>36</v>
      </c>
      <c r="B56" s="11" t="s">
        <v>37</v>
      </c>
      <c r="C56" s="11" t="s">
        <v>27</v>
      </c>
      <c r="D56" s="11" t="s">
        <v>122</v>
      </c>
      <c r="E56" s="11" t="s">
        <v>228</v>
      </c>
      <c r="F56" s="12">
        <v>6300</v>
      </c>
      <c r="G56" s="12"/>
      <c r="H56" s="12"/>
      <c r="I56" s="12"/>
      <c r="J56" s="12">
        <v>6300</v>
      </c>
      <c r="K56" s="16" t="s">
        <v>340</v>
      </c>
      <c r="M56" s="16">
        <v>0</v>
      </c>
      <c r="N56" s="16">
        <f t="shared" si="0"/>
        <v>6300</v>
      </c>
    </row>
    <row r="57" spans="1:14">
      <c r="A57" s="11" t="s">
        <v>38</v>
      </c>
      <c r="B57" s="11" t="s">
        <v>39</v>
      </c>
      <c r="C57" s="11" t="s">
        <v>27</v>
      </c>
      <c r="D57" s="11" t="s">
        <v>901</v>
      </c>
      <c r="E57" s="11" t="s">
        <v>902</v>
      </c>
      <c r="F57" s="12">
        <v>3744</v>
      </c>
      <c r="G57" s="12">
        <v>1957</v>
      </c>
      <c r="H57" s="12"/>
      <c r="I57" s="12"/>
      <c r="J57" s="12">
        <v>5701</v>
      </c>
      <c r="K57" s="16" t="s">
        <v>897</v>
      </c>
      <c r="M57" s="16">
        <v>0</v>
      </c>
      <c r="N57" s="16">
        <f t="shared" si="0"/>
        <v>5701</v>
      </c>
    </row>
    <row r="58" spans="1:14">
      <c r="A58" s="11" t="s">
        <v>42</v>
      </c>
      <c r="B58" s="11" t="s">
        <v>298</v>
      </c>
      <c r="C58" s="11"/>
      <c r="D58" s="11" t="s">
        <v>316</v>
      </c>
      <c r="E58" s="11" t="s">
        <v>283</v>
      </c>
      <c r="F58" s="12">
        <v>12661</v>
      </c>
      <c r="G58" s="12">
        <v>21641</v>
      </c>
      <c r="H58" s="12"/>
      <c r="I58" s="12"/>
      <c r="J58" s="12">
        <v>34302</v>
      </c>
      <c r="K58" s="16" t="s">
        <v>340</v>
      </c>
      <c r="M58" s="16">
        <v>10240</v>
      </c>
      <c r="N58" s="16">
        <f t="shared" si="0"/>
        <v>44542</v>
      </c>
    </row>
    <row r="59" spans="1:14">
      <c r="A59" s="11" t="s">
        <v>42</v>
      </c>
      <c r="B59" s="11" t="s">
        <v>298</v>
      </c>
      <c r="C59" s="11"/>
      <c r="D59" s="11" t="s">
        <v>329</v>
      </c>
      <c r="E59" s="11" t="s">
        <v>229</v>
      </c>
      <c r="F59" s="12">
        <v>20349</v>
      </c>
      <c r="G59" s="12"/>
      <c r="H59" s="12"/>
      <c r="I59" s="12"/>
      <c r="J59" s="12">
        <v>20349</v>
      </c>
      <c r="K59" s="16" t="s">
        <v>897</v>
      </c>
      <c r="M59" s="16">
        <v>3904</v>
      </c>
      <c r="N59" s="16">
        <f t="shared" si="0"/>
        <v>24253</v>
      </c>
    </row>
    <row r="60" spans="1:14">
      <c r="A60" s="11" t="s">
        <v>18</v>
      </c>
      <c r="B60" s="11" t="s">
        <v>19</v>
      </c>
      <c r="C60" s="11" t="s">
        <v>20</v>
      </c>
      <c r="D60" s="11" t="s">
        <v>250</v>
      </c>
      <c r="E60" s="11" t="s">
        <v>220</v>
      </c>
      <c r="F60" s="12"/>
      <c r="G60" s="12">
        <v>3050</v>
      </c>
      <c r="H60" s="12"/>
      <c r="I60" s="12"/>
      <c r="J60" s="12">
        <v>3050</v>
      </c>
      <c r="K60" s="16" t="s">
        <v>340</v>
      </c>
      <c r="M60" s="16">
        <v>0</v>
      </c>
      <c r="N60" s="16">
        <f t="shared" si="0"/>
        <v>3050</v>
      </c>
    </row>
    <row r="61" spans="1:14">
      <c r="A61" s="11" t="s">
        <v>45</v>
      </c>
      <c r="B61" s="11" t="s">
        <v>298</v>
      </c>
      <c r="C61" s="11"/>
      <c r="D61" s="11" t="s">
        <v>305</v>
      </c>
      <c r="E61" s="11" t="s">
        <v>229</v>
      </c>
      <c r="F61" s="12">
        <v>4154</v>
      </c>
      <c r="G61" s="12"/>
      <c r="H61" s="12"/>
      <c r="I61" s="12"/>
      <c r="J61" s="12">
        <v>4154</v>
      </c>
      <c r="K61" s="16" t="s">
        <v>897</v>
      </c>
      <c r="M61" s="16">
        <v>8282</v>
      </c>
      <c r="N61" s="16">
        <f t="shared" si="0"/>
        <v>12436</v>
      </c>
    </row>
    <row r="62" spans="1:14">
      <c r="A62" s="11" t="s">
        <v>40</v>
      </c>
      <c r="B62" s="11" t="s">
        <v>41</v>
      </c>
      <c r="C62" s="11" t="s">
        <v>27</v>
      </c>
      <c r="D62" s="11" t="s">
        <v>310</v>
      </c>
      <c r="E62" s="11" t="s">
        <v>229</v>
      </c>
      <c r="F62" s="12">
        <v>100</v>
      </c>
      <c r="G62" s="12"/>
      <c r="H62" s="12"/>
      <c r="I62" s="12"/>
      <c r="J62" s="12">
        <v>100</v>
      </c>
      <c r="K62" s="16" t="s">
        <v>897</v>
      </c>
      <c r="M62" s="16">
        <v>0</v>
      </c>
      <c r="N62" s="16">
        <f t="shared" si="0"/>
        <v>100</v>
      </c>
    </row>
    <row r="63" spans="1:14">
      <c r="A63" s="11" t="s">
        <v>18</v>
      </c>
      <c r="B63" s="11" t="s">
        <v>19</v>
      </c>
      <c r="C63" s="11" t="s">
        <v>20</v>
      </c>
      <c r="D63" s="11" t="s">
        <v>164</v>
      </c>
      <c r="E63" s="11" t="s">
        <v>220</v>
      </c>
      <c r="F63" s="12">
        <v>2100</v>
      </c>
      <c r="G63" s="12"/>
      <c r="H63" s="12"/>
      <c r="I63" s="12"/>
      <c r="J63" s="12">
        <v>2100</v>
      </c>
      <c r="K63" s="16" t="s">
        <v>340</v>
      </c>
      <c r="M63" s="16">
        <v>0</v>
      </c>
      <c r="N63" s="16">
        <f t="shared" si="0"/>
        <v>2100</v>
      </c>
    </row>
    <row r="64" spans="1:14">
      <c r="A64" s="11" t="s">
        <v>45</v>
      </c>
      <c r="B64" s="11" t="s">
        <v>298</v>
      </c>
      <c r="C64" s="11"/>
      <c r="D64" s="11" t="s">
        <v>319</v>
      </c>
      <c r="E64" s="11" t="s">
        <v>320</v>
      </c>
      <c r="F64" s="12"/>
      <c r="G64" s="12">
        <v>300</v>
      </c>
      <c r="H64" s="12"/>
      <c r="I64" s="12"/>
      <c r="J64" s="12">
        <v>300</v>
      </c>
      <c r="K64" s="16" t="s">
        <v>897</v>
      </c>
      <c r="M64" s="16">
        <v>0</v>
      </c>
      <c r="N64" s="16">
        <f t="shared" si="0"/>
        <v>300</v>
      </c>
    </row>
    <row r="65" spans="1:14">
      <c r="A65" s="11" t="s">
        <v>25</v>
      </c>
      <c r="B65" s="11" t="s">
        <v>26</v>
      </c>
      <c r="C65" s="11" t="s">
        <v>27</v>
      </c>
      <c r="D65" s="11" t="s">
        <v>147</v>
      </c>
      <c r="E65" s="11" t="s">
        <v>248</v>
      </c>
      <c r="F65" s="12">
        <v>18306</v>
      </c>
      <c r="G65" s="12">
        <v>8972</v>
      </c>
      <c r="H65" s="12">
        <v>2200</v>
      </c>
      <c r="I65" s="12"/>
      <c r="J65" s="12">
        <v>29478</v>
      </c>
      <c r="K65" s="16" t="s">
        <v>340</v>
      </c>
      <c r="M65" s="16">
        <v>0</v>
      </c>
      <c r="N65" s="16">
        <f t="shared" si="0"/>
        <v>29478</v>
      </c>
    </row>
    <row r="66" spans="1:14">
      <c r="A66" s="11" t="s">
        <v>40</v>
      </c>
      <c r="B66" s="11" t="s">
        <v>41</v>
      </c>
      <c r="C66" s="11" t="s">
        <v>27</v>
      </c>
      <c r="D66" s="11" t="s">
        <v>299</v>
      </c>
      <c r="E66" s="11" t="s">
        <v>256</v>
      </c>
      <c r="F66" s="12">
        <v>19541</v>
      </c>
      <c r="G66" s="12"/>
      <c r="H66" s="12"/>
      <c r="I66" s="12">
        <v>134</v>
      </c>
      <c r="J66" s="12">
        <v>19675</v>
      </c>
      <c r="K66" s="16" t="s">
        <v>897</v>
      </c>
      <c r="M66" s="16">
        <v>7700</v>
      </c>
      <c r="N66" s="16">
        <f t="shared" si="0"/>
        <v>27375</v>
      </c>
    </row>
    <row r="67" spans="1:14">
      <c r="A67" s="11" t="s">
        <v>53</v>
      </c>
      <c r="B67" s="11" t="s">
        <v>54</v>
      </c>
      <c r="C67" s="11" t="s">
        <v>20</v>
      </c>
      <c r="D67" s="11" t="s">
        <v>66</v>
      </c>
      <c r="E67" s="11" t="s">
        <v>271</v>
      </c>
      <c r="F67" s="12">
        <v>3700</v>
      </c>
      <c r="G67" s="12">
        <v>1600</v>
      </c>
      <c r="H67" s="12"/>
      <c r="I67" s="12"/>
      <c r="J67" s="12">
        <v>5300</v>
      </c>
      <c r="K67" s="16" t="s">
        <v>897</v>
      </c>
      <c r="M67" s="16">
        <v>0</v>
      </c>
      <c r="N67" s="16">
        <f t="shared" si="0"/>
        <v>5300</v>
      </c>
    </row>
    <row r="68" spans="1:14">
      <c r="A68" s="11" t="s">
        <v>40</v>
      </c>
      <c r="B68" s="11" t="s">
        <v>41</v>
      </c>
      <c r="C68" s="11" t="s">
        <v>27</v>
      </c>
      <c r="D68" s="11" t="s">
        <v>95</v>
      </c>
      <c r="E68" s="11" t="s">
        <v>254</v>
      </c>
      <c r="F68" s="12">
        <v>15062</v>
      </c>
      <c r="G68" s="12">
        <v>6500</v>
      </c>
      <c r="H68" s="12"/>
      <c r="I68" s="12"/>
      <c r="J68" s="12">
        <v>21562</v>
      </c>
      <c r="K68" s="16" t="s">
        <v>897</v>
      </c>
      <c r="M68" s="16">
        <v>11963</v>
      </c>
      <c r="N68" s="16">
        <f t="shared" si="0"/>
        <v>33525</v>
      </c>
    </row>
    <row r="69" spans="1:14">
      <c r="A69" s="11" t="s">
        <v>38</v>
      </c>
      <c r="B69" s="11" t="s">
        <v>39</v>
      </c>
      <c r="C69" s="11" t="s">
        <v>27</v>
      </c>
      <c r="D69" s="11" t="s">
        <v>327</v>
      </c>
      <c r="E69" s="11" t="s">
        <v>328</v>
      </c>
      <c r="F69" s="12">
        <v>1433</v>
      </c>
      <c r="G69" s="12">
        <v>3600</v>
      </c>
      <c r="H69" s="12">
        <v>1800</v>
      </c>
      <c r="I69" s="12">
        <v>2000</v>
      </c>
      <c r="J69" s="12">
        <v>8833</v>
      </c>
      <c r="K69" s="16" t="s">
        <v>897</v>
      </c>
      <c r="M69" s="16">
        <v>2267</v>
      </c>
      <c r="N69" s="16">
        <f t="shared" ref="N69:N132" si="1">J69+M69</f>
        <v>11100</v>
      </c>
    </row>
    <row r="70" spans="1:14">
      <c r="A70" s="11" t="s">
        <v>34</v>
      </c>
      <c r="B70" s="11" t="s">
        <v>35</v>
      </c>
      <c r="C70" s="11" t="s">
        <v>27</v>
      </c>
      <c r="D70" s="11" t="s">
        <v>109</v>
      </c>
      <c r="E70" s="11" t="s">
        <v>254</v>
      </c>
      <c r="F70" s="12">
        <v>6400</v>
      </c>
      <c r="G70" s="12">
        <v>6000</v>
      </c>
      <c r="H70" s="12"/>
      <c r="I70" s="12"/>
      <c r="J70" s="12">
        <v>12400</v>
      </c>
      <c r="K70" s="16" t="s">
        <v>340</v>
      </c>
      <c r="M70" s="16">
        <v>0</v>
      </c>
      <c r="N70" s="16">
        <f t="shared" si="1"/>
        <v>12400</v>
      </c>
    </row>
    <row r="71" spans="1:14">
      <c r="A71" s="11" t="s">
        <v>45</v>
      </c>
      <c r="B71" s="11" t="s">
        <v>298</v>
      </c>
      <c r="C71" s="11"/>
      <c r="D71" s="11" t="s">
        <v>304</v>
      </c>
      <c r="E71" s="11" t="s">
        <v>229</v>
      </c>
      <c r="F71" s="12">
        <v>4946</v>
      </c>
      <c r="G71" s="12"/>
      <c r="H71" s="12"/>
      <c r="I71" s="12"/>
      <c r="J71" s="12">
        <v>4946</v>
      </c>
      <c r="K71" s="16" t="s">
        <v>897</v>
      </c>
      <c r="M71" s="16">
        <v>10510</v>
      </c>
      <c r="N71" s="16">
        <f t="shared" si="1"/>
        <v>15456</v>
      </c>
    </row>
    <row r="72" spans="1:14">
      <c r="A72" s="11" t="s">
        <v>40</v>
      </c>
      <c r="B72" s="11" t="s">
        <v>41</v>
      </c>
      <c r="C72" s="11" t="s">
        <v>27</v>
      </c>
      <c r="D72" s="11" t="s">
        <v>903</v>
      </c>
      <c r="E72" s="11" t="s">
        <v>229</v>
      </c>
      <c r="F72" s="12">
        <v>0</v>
      </c>
      <c r="G72" s="12"/>
      <c r="H72" s="12"/>
      <c r="I72" s="12"/>
      <c r="J72" s="12">
        <v>0</v>
      </c>
      <c r="K72" s="16" t="s">
        <v>897</v>
      </c>
      <c r="M72" s="16">
        <v>0</v>
      </c>
      <c r="N72" s="16">
        <f t="shared" si="1"/>
        <v>0</v>
      </c>
    </row>
    <row r="73" spans="1:14">
      <c r="A73" s="11" t="s">
        <v>40</v>
      </c>
      <c r="B73" s="11" t="s">
        <v>41</v>
      </c>
      <c r="C73" s="11" t="s">
        <v>27</v>
      </c>
      <c r="D73" s="11" t="s">
        <v>96</v>
      </c>
      <c r="E73" s="11" t="s">
        <v>220</v>
      </c>
      <c r="F73" s="12">
        <v>21835</v>
      </c>
      <c r="G73" s="12"/>
      <c r="H73" s="12"/>
      <c r="I73" s="12"/>
      <c r="J73" s="12">
        <v>21835</v>
      </c>
      <c r="K73" s="16" t="s">
        <v>897</v>
      </c>
      <c r="M73" s="16">
        <v>3736</v>
      </c>
      <c r="N73" s="16">
        <f t="shared" si="1"/>
        <v>25571</v>
      </c>
    </row>
    <row r="74" spans="1:14">
      <c r="A74" s="11" t="s">
        <v>34</v>
      </c>
      <c r="B74" s="11" t="s">
        <v>35</v>
      </c>
      <c r="C74" s="11" t="s">
        <v>27</v>
      </c>
      <c r="D74" s="11" t="s">
        <v>110</v>
      </c>
      <c r="E74" s="11" t="s">
        <v>220</v>
      </c>
      <c r="F74" s="12">
        <v>609</v>
      </c>
      <c r="G74" s="12"/>
      <c r="H74" s="12"/>
      <c r="I74" s="12"/>
      <c r="J74" s="12">
        <v>609</v>
      </c>
      <c r="K74" s="16" t="s">
        <v>340</v>
      </c>
      <c r="M74" s="16">
        <v>0</v>
      </c>
      <c r="N74" s="16">
        <f t="shared" si="1"/>
        <v>609</v>
      </c>
    </row>
    <row r="75" spans="1:14">
      <c r="A75" s="11" t="s">
        <v>28</v>
      </c>
      <c r="B75" s="11" t="s">
        <v>29</v>
      </c>
      <c r="C75" s="11" t="s">
        <v>20</v>
      </c>
      <c r="D75" s="11" t="s">
        <v>73</v>
      </c>
      <c r="E75" s="11" t="s">
        <v>220</v>
      </c>
      <c r="F75" s="12">
        <v>48040</v>
      </c>
      <c r="G75" s="12"/>
      <c r="H75" s="12">
        <v>4500</v>
      </c>
      <c r="I75" s="12"/>
      <c r="J75" s="12">
        <v>52540</v>
      </c>
      <c r="K75" s="16" t="s">
        <v>897</v>
      </c>
      <c r="M75" s="16">
        <v>415</v>
      </c>
      <c r="N75" s="16">
        <f t="shared" si="1"/>
        <v>52955</v>
      </c>
    </row>
    <row r="76" spans="1:14">
      <c r="A76" s="11" t="s">
        <v>36</v>
      </c>
      <c r="B76" s="11" t="s">
        <v>37</v>
      </c>
      <c r="C76" s="11" t="s">
        <v>27</v>
      </c>
      <c r="D76" s="11" t="s">
        <v>230</v>
      </c>
      <c r="E76" s="11" t="s">
        <v>228</v>
      </c>
      <c r="F76" s="12">
        <v>1400</v>
      </c>
      <c r="G76" s="12">
        <v>1200</v>
      </c>
      <c r="H76" s="12"/>
      <c r="I76" s="12"/>
      <c r="J76" s="12">
        <v>2600</v>
      </c>
      <c r="K76" s="16" t="s">
        <v>340</v>
      </c>
      <c r="M76" s="16">
        <v>0</v>
      </c>
      <c r="N76" s="16">
        <f t="shared" si="1"/>
        <v>2600</v>
      </c>
    </row>
    <row r="77" spans="1:14">
      <c r="A77" s="11" t="s">
        <v>36</v>
      </c>
      <c r="B77" s="11" t="s">
        <v>37</v>
      </c>
      <c r="C77" s="11" t="s">
        <v>27</v>
      </c>
      <c r="D77" s="11" t="s">
        <v>123</v>
      </c>
      <c r="E77" s="11" t="s">
        <v>229</v>
      </c>
      <c r="F77" s="12">
        <v>10447</v>
      </c>
      <c r="G77" s="12">
        <v>400</v>
      </c>
      <c r="H77" s="12"/>
      <c r="I77" s="12"/>
      <c r="J77" s="12">
        <v>10847</v>
      </c>
      <c r="K77" s="16" t="s">
        <v>340</v>
      </c>
      <c r="M77" s="16">
        <v>0</v>
      </c>
      <c r="N77" s="16">
        <f t="shared" si="1"/>
        <v>10847</v>
      </c>
    </row>
    <row r="78" spans="1:14">
      <c r="A78" s="11" t="s">
        <v>18</v>
      </c>
      <c r="B78" s="11" t="s">
        <v>19</v>
      </c>
      <c r="C78" s="11" t="s">
        <v>20</v>
      </c>
      <c r="D78" s="11" t="s">
        <v>247</v>
      </c>
      <c r="E78" s="11" t="s">
        <v>248</v>
      </c>
      <c r="F78" s="12"/>
      <c r="G78" s="12">
        <v>27981</v>
      </c>
      <c r="H78" s="12"/>
      <c r="I78" s="12"/>
      <c r="J78" s="12">
        <v>27981</v>
      </c>
      <c r="K78" s="16" t="s">
        <v>340</v>
      </c>
      <c r="M78" s="16">
        <v>0</v>
      </c>
      <c r="N78" s="16">
        <f t="shared" si="1"/>
        <v>27981</v>
      </c>
    </row>
    <row r="79" spans="1:14">
      <c r="A79" s="11" t="s">
        <v>38</v>
      </c>
      <c r="B79" s="11" t="s">
        <v>39</v>
      </c>
      <c r="C79" s="11" t="s">
        <v>27</v>
      </c>
      <c r="D79" s="11" t="s">
        <v>904</v>
      </c>
      <c r="E79" s="11" t="s">
        <v>229</v>
      </c>
      <c r="F79" s="12">
        <v>300</v>
      </c>
      <c r="G79" s="12">
        <v>700</v>
      </c>
      <c r="H79" s="12"/>
      <c r="I79" s="12"/>
      <c r="J79" s="12">
        <v>1000</v>
      </c>
      <c r="K79" s="16" t="s">
        <v>897</v>
      </c>
      <c r="M79" s="16">
        <v>0</v>
      </c>
      <c r="N79" s="16">
        <f t="shared" si="1"/>
        <v>1000</v>
      </c>
    </row>
    <row r="80" spans="1:14">
      <c r="A80" s="11" t="s">
        <v>42</v>
      </c>
      <c r="B80" s="11" t="s">
        <v>298</v>
      </c>
      <c r="C80" s="11"/>
      <c r="D80" s="11" t="s">
        <v>905</v>
      </c>
      <c r="E80" s="11" t="s">
        <v>229</v>
      </c>
      <c r="F80" s="12">
        <v>2909</v>
      </c>
      <c r="G80" s="12"/>
      <c r="H80" s="12"/>
      <c r="I80" s="12"/>
      <c r="J80" s="12">
        <v>2909</v>
      </c>
      <c r="K80" s="16" t="s">
        <v>897</v>
      </c>
      <c r="M80" s="16">
        <v>0</v>
      </c>
      <c r="N80" s="16">
        <f t="shared" si="1"/>
        <v>2909</v>
      </c>
    </row>
    <row r="81" spans="1:14">
      <c r="A81" s="11" t="s">
        <v>40</v>
      </c>
      <c r="B81" s="11" t="s">
        <v>41</v>
      </c>
      <c r="C81" s="11" t="s">
        <v>27</v>
      </c>
      <c r="D81" s="11" t="s">
        <v>311</v>
      </c>
      <c r="E81" s="11" t="s">
        <v>229</v>
      </c>
      <c r="F81" s="12">
        <v>83724</v>
      </c>
      <c r="G81" s="12"/>
      <c r="H81" s="12"/>
      <c r="I81" s="12"/>
      <c r="J81" s="12">
        <v>83724</v>
      </c>
      <c r="K81" s="16" t="s">
        <v>897</v>
      </c>
      <c r="M81" s="16">
        <v>14480</v>
      </c>
      <c r="N81" s="16">
        <f t="shared" si="1"/>
        <v>98204</v>
      </c>
    </row>
    <row r="82" spans="1:14">
      <c r="A82" s="11" t="s">
        <v>36</v>
      </c>
      <c r="B82" s="11" t="s">
        <v>37</v>
      </c>
      <c r="C82" s="11" t="s">
        <v>27</v>
      </c>
      <c r="D82" s="11" t="s">
        <v>239</v>
      </c>
      <c r="E82" s="11" t="s">
        <v>228</v>
      </c>
      <c r="F82" s="12"/>
      <c r="G82" s="12">
        <v>5020</v>
      </c>
      <c r="H82" s="12"/>
      <c r="I82" s="12"/>
      <c r="J82" s="12">
        <v>5020</v>
      </c>
      <c r="K82" s="16" t="s">
        <v>340</v>
      </c>
      <c r="M82" s="16">
        <v>0</v>
      </c>
      <c r="N82" s="16">
        <f t="shared" si="1"/>
        <v>5020</v>
      </c>
    </row>
    <row r="83" spans="1:14">
      <c r="A83" s="11" t="s">
        <v>25</v>
      </c>
      <c r="B83" s="11" t="s">
        <v>26</v>
      </c>
      <c r="C83" s="11" t="s">
        <v>27</v>
      </c>
      <c r="D83" s="11" t="s">
        <v>148</v>
      </c>
      <c r="E83" s="11" t="s">
        <v>229</v>
      </c>
      <c r="F83" s="12">
        <v>1926</v>
      </c>
      <c r="G83" s="12">
        <v>100</v>
      </c>
      <c r="H83" s="12"/>
      <c r="I83" s="12"/>
      <c r="J83" s="12">
        <v>2026</v>
      </c>
      <c r="K83" s="16" t="s">
        <v>340</v>
      </c>
      <c r="M83" s="16">
        <v>0</v>
      </c>
      <c r="N83" s="16">
        <f t="shared" si="1"/>
        <v>2026</v>
      </c>
    </row>
    <row r="84" spans="1:14">
      <c r="A84" s="11" t="s">
        <v>34</v>
      </c>
      <c r="B84" s="11" t="s">
        <v>35</v>
      </c>
      <c r="C84" s="11" t="s">
        <v>27</v>
      </c>
      <c r="D84" s="11" t="s">
        <v>111</v>
      </c>
      <c r="E84" s="11" t="s">
        <v>220</v>
      </c>
      <c r="F84" s="12">
        <v>1041</v>
      </c>
      <c r="G84" s="12"/>
      <c r="H84" s="12"/>
      <c r="I84" s="12"/>
      <c r="J84" s="12">
        <v>1041</v>
      </c>
      <c r="K84" s="16" t="s">
        <v>340</v>
      </c>
      <c r="M84" s="16">
        <v>0</v>
      </c>
      <c r="N84" s="16">
        <f t="shared" si="1"/>
        <v>1041</v>
      </c>
    </row>
    <row r="85" spans="1:14">
      <c r="A85" s="11" t="s">
        <v>36</v>
      </c>
      <c r="B85" s="11" t="s">
        <v>37</v>
      </c>
      <c r="C85" s="11" t="s">
        <v>27</v>
      </c>
      <c r="D85" s="11" t="s">
        <v>124</v>
      </c>
      <c r="E85" s="11" t="s">
        <v>228</v>
      </c>
      <c r="F85" s="12">
        <v>13200</v>
      </c>
      <c r="G85" s="12">
        <v>23850</v>
      </c>
      <c r="H85" s="12">
        <v>2200</v>
      </c>
      <c r="I85" s="12"/>
      <c r="J85" s="12">
        <v>39250</v>
      </c>
      <c r="K85" s="16" t="s">
        <v>340</v>
      </c>
      <c r="M85" s="16">
        <v>0</v>
      </c>
      <c r="N85" s="16">
        <f t="shared" si="1"/>
        <v>39250</v>
      </c>
    </row>
    <row r="86" spans="1:14">
      <c r="A86" s="11" t="s">
        <v>36</v>
      </c>
      <c r="B86" s="11" t="s">
        <v>37</v>
      </c>
      <c r="C86" s="11" t="s">
        <v>27</v>
      </c>
      <c r="D86" s="11" t="s">
        <v>231</v>
      </c>
      <c r="E86" s="11" t="s">
        <v>220</v>
      </c>
      <c r="F86" s="12">
        <v>2400</v>
      </c>
      <c r="G86" s="12">
        <v>6200</v>
      </c>
      <c r="H86" s="12"/>
      <c r="I86" s="12"/>
      <c r="J86" s="12">
        <v>8600</v>
      </c>
      <c r="K86" s="16" t="s">
        <v>340</v>
      </c>
      <c r="M86" s="16">
        <v>0</v>
      </c>
      <c r="N86" s="16">
        <f t="shared" si="1"/>
        <v>8600</v>
      </c>
    </row>
    <row r="87" spans="1:14">
      <c r="A87" s="11" t="s">
        <v>18</v>
      </c>
      <c r="B87" s="11" t="s">
        <v>19</v>
      </c>
      <c r="C87" s="11" t="s">
        <v>20</v>
      </c>
      <c r="D87" s="11" t="s">
        <v>906</v>
      </c>
      <c r="E87" s="11" t="s">
        <v>907</v>
      </c>
      <c r="F87" s="12">
        <v>17400</v>
      </c>
      <c r="G87" s="12"/>
      <c r="H87" s="12"/>
      <c r="I87" s="12"/>
      <c r="J87" s="12">
        <v>17400</v>
      </c>
      <c r="K87" s="16" t="s">
        <v>340</v>
      </c>
      <c r="M87" s="16">
        <v>0</v>
      </c>
      <c r="N87" s="16">
        <f t="shared" si="1"/>
        <v>17400</v>
      </c>
    </row>
    <row r="88" spans="1:14">
      <c r="A88" s="11" t="s">
        <v>18</v>
      </c>
      <c r="B88" s="11" t="s">
        <v>19</v>
      </c>
      <c r="C88" s="11" t="s">
        <v>20</v>
      </c>
      <c r="D88" s="11" t="s">
        <v>165</v>
      </c>
      <c r="E88" s="11" t="s">
        <v>246</v>
      </c>
      <c r="F88" s="12">
        <v>86998</v>
      </c>
      <c r="G88" s="12">
        <v>106000</v>
      </c>
      <c r="H88" s="12"/>
      <c r="I88" s="12"/>
      <c r="J88" s="12">
        <v>192998</v>
      </c>
      <c r="K88" s="16" t="s">
        <v>340</v>
      </c>
      <c r="M88" s="16">
        <v>0</v>
      </c>
      <c r="N88" s="16">
        <f t="shared" si="1"/>
        <v>192998</v>
      </c>
    </row>
    <row r="89" spans="1:14">
      <c r="A89" s="11" t="s">
        <v>40</v>
      </c>
      <c r="B89" s="11" t="s">
        <v>41</v>
      </c>
      <c r="C89" s="11" t="s">
        <v>27</v>
      </c>
      <c r="D89" s="11" t="s">
        <v>908</v>
      </c>
      <c r="E89" s="11" t="s">
        <v>313</v>
      </c>
      <c r="F89" s="12">
        <v>900</v>
      </c>
      <c r="G89" s="12"/>
      <c r="H89" s="12"/>
      <c r="I89" s="12"/>
      <c r="J89" s="12">
        <v>900</v>
      </c>
      <c r="K89" s="16" t="s">
        <v>897</v>
      </c>
      <c r="M89" s="16">
        <v>0</v>
      </c>
      <c r="N89" s="16">
        <f t="shared" si="1"/>
        <v>900</v>
      </c>
    </row>
    <row r="90" spans="1:14">
      <c r="A90" s="11" t="s">
        <v>38</v>
      </c>
      <c r="B90" s="11" t="s">
        <v>39</v>
      </c>
      <c r="C90" s="11" t="s">
        <v>27</v>
      </c>
      <c r="D90" s="11" t="s">
        <v>330</v>
      </c>
      <c r="E90" s="11" t="s">
        <v>315</v>
      </c>
      <c r="F90" s="12">
        <v>97676</v>
      </c>
      <c r="G90" s="12">
        <v>39700</v>
      </c>
      <c r="H90" s="12">
        <v>26800</v>
      </c>
      <c r="I90" s="12"/>
      <c r="J90" s="12">
        <v>164176</v>
      </c>
      <c r="K90" s="16" t="s">
        <v>897</v>
      </c>
      <c r="M90" s="16">
        <v>2808</v>
      </c>
      <c r="N90" s="16">
        <f t="shared" si="1"/>
        <v>166984</v>
      </c>
    </row>
    <row r="91" spans="1:14">
      <c r="A91" s="11" t="s">
        <v>38</v>
      </c>
      <c r="B91" s="11" t="s">
        <v>39</v>
      </c>
      <c r="C91" s="11" t="s">
        <v>27</v>
      </c>
      <c r="D91" s="11" t="s">
        <v>337</v>
      </c>
      <c r="E91" s="11" t="s">
        <v>315</v>
      </c>
      <c r="F91" s="12">
        <v>83428</v>
      </c>
      <c r="G91" s="12">
        <v>10000</v>
      </c>
      <c r="H91" s="12"/>
      <c r="I91" s="12"/>
      <c r="J91" s="12">
        <v>93428</v>
      </c>
      <c r="K91" s="16" t="s">
        <v>897</v>
      </c>
      <c r="M91" s="16">
        <v>0</v>
      </c>
      <c r="N91" s="16">
        <f t="shared" si="1"/>
        <v>93428</v>
      </c>
    </row>
    <row r="92" spans="1:14">
      <c r="A92" s="11" t="s">
        <v>40</v>
      </c>
      <c r="B92" s="11" t="s">
        <v>41</v>
      </c>
      <c r="C92" s="11" t="s">
        <v>27</v>
      </c>
      <c r="D92" s="11" t="s">
        <v>356</v>
      </c>
      <c r="E92" s="11" t="s">
        <v>357</v>
      </c>
      <c r="F92" s="12"/>
      <c r="G92" s="12">
        <v>8500</v>
      </c>
      <c r="H92" s="12"/>
      <c r="I92" s="12"/>
      <c r="J92" s="12">
        <v>8500</v>
      </c>
      <c r="K92" s="16" t="s">
        <v>340</v>
      </c>
      <c r="M92" s="16">
        <v>0</v>
      </c>
      <c r="N92" s="16">
        <f t="shared" si="1"/>
        <v>8500</v>
      </c>
    </row>
    <row r="93" spans="1:14">
      <c r="A93" s="11" t="s">
        <v>36</v>
      </c>
      <c r="B93" s="11" t="s">
        <v>37</v>
      </c>
      <c r="C93" s="11" t="s">
        <v>27</v>
      </c>
      <c r="D93" s="11" t="s">
        <v>125</v>
      </c>
      <c r="E93" s="11" t="s">
        <v>228</v>
      </c>
      <c r="F93" s="12">
        <v>11300</v>
      </c>
      <c r="G93" s="12">
        <v>25000</v>
      </c>
      <c r="H93" s="12"/>
      <c r="I93" s="12"/>
      <c r="J93" s="12">
        <v>36300</v>
      </c>
      <c r="K93" s="16" t="s">
        <v>340</v>
      </c>
      <c r="M93" s="16">
        <v>0</v>
      </c>
      <c r="N93" s="16">
        <f t="shared" si="1"/>
        <v>36300</v>
      </c>
    </row>
    <row r="94" spans="1:14">
      <c r="A94" s="11" t="s">
        <v>18</v>
      </c>
      <c r="B94" s="11" t="s">
        <v>19</v>
      </c>
      <c r="C94" s="11" t="s">
        <v>20</v>
      </c>
      <c r="D94" s="11" t="s">
        <v>166</v>
      </c>
      <c r="E94" s="11" t="s">
        <v>220</v>
      </c>
      <c r="F94" s="12">
        <v>2608</v>
      </c>
      <c r="G94" s="12">
        <v>3360</v>
      </c>
      <c r="H94" s="12"/>
      <c r="I94" s="12"/>
      <c r="J94" s="12">
        <v>5968</v>
      </c>
      <c r="K94" s="16" t="s">
        <v>340</v>
      </c>
      <c r="M94" s="16">
        <v>0</v>
      </c>
      <c r="N94" s="16">
        <f t="shared" si="1"/>
        <v>5968</v>
      </c>
    </row>
    <row r="95" spans="1:14">
      <c r="A95" s="11" t="s">
        <v>36</v>
      </c>
      <c r="B95" s="11" t="s">
        <v>37</v>
      </c>
      <c r="C95" s="11" t="s">
        <v>27</v>
      </c>
      <c r="D95" s="11" t="s">
        <v>126</v>
      </c>
      <c r="E95" s="11" t="s">
        <v>229</v>
      </c>
      <c r="F95" s="12">
        <v>4500</v>
      </c>
      <c r="G95" s="12"/>
      <c r="H95" s="12"/>
      <c r="I95" s="12"/>
      <c r="J95" s="12">
        <v>4500</v>
      </c>
      <c r="K95" s="16" t="s">
        <v>340</v>
      </c>
      <c r="M95" s="16">
        <v>0</v>
      </c>
      <c r="N95" s="16">
        <f t="shared" si="1"/>
        <v>4500</v>
      </c>
    </row>
    <row r="96" spans="1:14">
      <c r="A96" s="11" t="s">
        <v>25</v>
      </c>
      <c r="B96" s="11" t="s">
        <v>26</v>
      </c>
      <c r="C96" s="11" t="s">
        <v>27</v>
      </c>
      <c r="D96" s="11" t="s">
        <v>149</v>
      </c>
      <c r="E96" s="11" t="s">
        <v>229</v>
      </c>
      <c r="F96" s="12">
        <v>5168</v>
      </c>
      <c r="G96" s="12">
        <v>16550</v>
      </c>
      <c r="H96" s="12">
        <v>6500</v>
      </c>
      <c r="I96" s="12"/>
      <c r="J96" s="12">
        <v>28218</v>
      </c>
      <c r="K96" s="16" t="s">
        <v>340</v>
      </c>
      <c r="M96" s="16">
        <v>0</v>
      </c>
      <c r="N96" s="16">
        <f t="shared" si="1"/>
        <v>28218</v>
      </c>
    </row>
    <row r="97" spans="1:14">
      <c r="A97" s="11" t="s">
        <v>25</v>
      </c>
      <c r="B97" s="11" t="s">
        <v>26</v>
      </c>
      <c r="C97" s="11" t="s">
        <v>27</v>
      </c>
      <c r="D97" s="11" t="s">
        <v>750</v>
      </c>
      <c r="E97" s="11" t="s">
        <v>220</v>
      </c>
      <c r="F97" s="12">
        <v>9599</v>
      </c>
      <c r="G97" s="12"/>
      <c r="H97" s="12"/>
      <c r="I97" s="12"/>
      <c r="J97" s="12">
        <v>9599</v>
      </c>
      <c r="K97" s="16" t="s">
        <v>340</v>
      </c>
      <c r="M97" s="16">
        <v>0</v>
      </c>
      <c r="N97" s="16">
        <f t="shared" si="1"/>
        <v>9599</v>
      </c>
    </row>
    <row r="98" spans="1:14">
      <c r="A98" s="11" t="s">
        <v>28</v>
      </c>
      <c r="B98" s="11" t="s">
        <v>29</v>
      </c>
      <c r="C98" s="11" t="s">
        <v>20</v>
      </c>
      <c r="D98" s="11" t="s">
        <v>74</v>
      </c>
      <c r="E98" s="11" t="s">
        <v>220</v>
      </c>
      <c r="F98" s="12">
        <v>36000</v>
      </c>
      <c r="G98" s="12">
        <v>9000</v>
      </c>
      <c r="H98" s="12"/>
      <c r="I98" s="12"/>
      <c r="J98" s="12">
        <v>45000</v>
      </c>
      <c r="K98" s="16" t="s">
        <v>897</v>
      </c>
      <c r="M98" s="16">
        <v>0</v>
      </c>
      <c r="N98" s="16">
        <f t="shared" si="1"/>
        <v>45000</v>
      </c>
    </row>
    <row r="99" spans="1:14">
      <c r="A99" s="11" t="s">
        <v>36</v>
      </c>
      <c r="B99" s="11" t="s">
        <v>37</v>
      </c>
      <c r="C99" s="11" t="s">
        <v>27</v>
      </c>
      <c r="D99" s="11" t="s">
        <v>127</v>
      </c>
      <c r="E99" s="11" t="s">
        <v>228</v>
      </c>
      <c r="F99" s="12">
        <v>14000</v>
      </c>
      <c r="G99" s="12">
        <v>13800</v>
      </c>
      <c r="H99" s="12"/>
      <c r="I99" s="12"/>
      <c r="J99" s="12">
        <v>27800</v>
      </c>
      <c r="K99" s="16" t="s">
        <v>340</v>
      </c>
      <c r="M99" s="16">
        <v>0</v>
      </c>
      <c r="N99" s="16">
        <f t="shared" si="1"/>
        <v>27800</v>
      </c>
    </row>
    <row r="100" spans="1:14">
      <c r="A100" s="11" t="s">
        <v>36</v>
      </c>
      <c r="B100" s="11" t="s">
        <v>37</v>
      </c>
      <c r="C100" s="11" t="s">
        <v>27</v>
      </c>
      <c r="D100" s="11" t="s">
        <v>235</v>
      </c>
      <c r="E100" s="11" t="s">
        <v>228</v>
      </c>
      <c r="F100" s="12">
        <v>0</v>
      </c>
      <c r="G100" s="12">
        <v>6900</v>
      </c>
      <c r="H100" s="12">
        <v>4400</v>
      </c>
      <c r="I100" s="12"/>
      <c r="J100" s="12">
        <v>11300</v>
      </c>
      <c r="K100" s="16" t="s">
        <v>340</v>
      </c>
      <c r="M100" s="16">
        <v>0</v>
      </c>
      <c r="N100" s="16">
        <f t="shared" si="1"/>
        <v>11300</v>
      </c>
    </row>
    <row r="101" spans="1:14">
      <c r="A101" s="11" t="s">
        <v>53</v>
      </c>
      <c r="B101" s="11" t="s">
        <v>54</v>
      </c>
      <c r="C101" s="11" t="s">
        <v>20</v>
      </c>
      <c r="D101" s="11" t="s">
        <v>67</v>
      </c>
      <c r="E101" s="11" t="s">
        <v>270</v>
      </c>
      <c r="F101" s="12">
        <v>6900</v>
      </c>
      <c r="G101" s="12"/>
      <c r="H101" s="12"/>
      <c r="I101" s="12"/>
      <c r="J101" s="12">
        <v>6900</v>
      </c>
      <c r="K101" s="16" t="s">
        <v>897</v>
      </c>
      <c r="M101" s="16">
        <v>300</v>
      </c>
      <c r="N101" s="16">
        <f t="shared" si="1"/>
        <v>7200</v>
      </c>
    </row>
    <row r="102" spans="1:14">
      <c r="A102" s="11" t="s">
        <v>53</v>
      </c>
      <c r="B102" s="11" t="s">
        <v>54</v>
      </c>
      <c r="C102" s="11" t="s">
        <v>20</v>
      </c>
      <c r="D102" s="11" t="s">
        <v>68</v>
      </c>
      <c r="E102" s="11" t="s">
        <v>270</v>
      </c>
      <c r="F102" s="12">
        <v>4800</v>
      </c>
      <c r="G102" s="12"/>
      <c r="H102" s="12"/>
      <c r="I102" s="12"/>
      <c r="J102" s="12">
        <v>4800</v>
      </c>
      <c r="K102" s="16" t="s">
        <v>897</v>
      </c>
      <c r="M102" s="16">
        <v>0</v>
      </c>
      <c r="N102" s="16">
        <f t="shared" si="1"/>
        <v>4800</v>
      </c>
    </row>
    <row r="103" spans="1:14">
      <c r="A103" s="11" t="s">
        <v>36</v>
      </c>
      <c r="B103" s="11" t="s">
        <v>37</v>
      </c>
      <c r="C103" s="11" t="s">
        <v>27</v>
      </c>
      <c r="D103" s="11" t="s">
        <v>128</v>
      </c>
      <c r="E103" s="11" t="s">
        <v>240</v>
      </c>
      <c r="F103" s="12">
        <v>625</v>
      </c>
      <c r="G103" s="12">
        <v>3250</v>
      </c>
      <c r="H103" s="12"/>
      <c r="I103" s="12"/>
      <c r="J103" s="12">
        <v>3875</v>
      </c>
      <c r="K103" s="16" t="s">
        <v>340</v>
      </c>
      <c r="M103" s="16">
        <v>0</v>
      </c>
      <c r="N103" s="16">
        <f t="shared" si="1"/>
        <v>3875</v>
      </c>
    </row>
    <row r="104" spans="1:14">
      <c r="A104" s="11" t="s">
        <v>36</v>
      </c>
      <c r="B104" s="11" t="s">
        <v>37</v>
      </c>
      <c r="C104" s="11" t="s">
        <v>27</v>
      </c>
      <c r="D104" s="11" t="s">
        <v>129</v>
      </c>
      <c r="E104" s="11" t="s">
        <v>229</v>
      </c>
      <c r="F104" s="12">
        <v>29000</v>
      </c>
      <c r="G104" s="12">
        <v>62100</v>
      </c>
      <c r="H104" s="12"/>
      <c r="I104" s="12"/>
      <c r="J104" s="12">
        <v>91100</v>
      </c>
      <c r="K104" s="16" t="s">
        <v>340</v>
      </c>
      <c r="M104" s="16">
        <v>0</v>
      </c>
      <c r="N104" s="16">
        <f t="shared" si="1"/>
        <v>91100</v>
      </c>
    </row>
    <row r="105" spans="1:14">
      <c r="A105" s="11" t="s">
        <v>36</v>
      </c>
      <c r="B105" s="11" t="s">
        <v>37</v>
      </c>
      <c r="C105" s="11" t="s">
        <v>27</v>
      </c>
      <c r="D105" s="11" t="s">
        <v>234</v>
      </c>
      <c r="E105" s="11" t="s">
        <v>229</v>
      </c>
      <c r="F105" s="12"/>
      <c r="G105" s="12">
        <v>4000</v>
      </c>
      <c r="H105" s="12"/>
      <c r="I105" s="12"/>
      <c r="J105" s="12">
        <v>4000</v>
      </c>
      <c r="K105" s="16" t="s">
        <v>340</v>
      </c>
      <c r="M105" s="16">
        <v>0</v>
      </c>
      <c r="N105" s="16">
        <f t="shared" si="1"/>
        <v>4000</v>
      </c>
    </row>
    <row r="106" spans="1:14">
      <c r="A106" s="11" t="s">
        <v>36</v>
      </c>
      <c r="B106" s="11" t="s">
        <v>37</v>
      </c>
      <c r="C106" s="11" t="s">
        <v>27</v>
      </c>
      <c r="D106" s="11" t="s">
        <v>130</v>
      </c>
      <c r="E106" s="11" t="s">
        <v>229</v>
      </c>
      <c r="F106" s="12">
        <v>2400</v>
      </c>
      <c r="G106" s="12">
        <v>4500</v>
      </c>
      <c r="H106" s="12"/>
      <c r="I106" s="12"/>
      <c r="J106" s="12">
        <v>6900</v>
      </c>
      <c r="K106" s="16" t="s">
        <v>340</v>
      </c>
      <c r="M106" s="16">
        <v>0</v>
      </c>
      <c r="N106" s="16">
        <f t="shared" si="1"/>
        <v>6900</v>
      </c>
    </row>
    <row r="107" spans="1:14">
      <c r="A107" s="11" t="s">
        <v>38</v>
      </c>
      <c r="B107" s="11" t="s">
        <v>39</v>
      </c>
      <c r="C107" s="11" t="s">
        <v>27</v>
      </c>
      <c r="D107" s="11" t="s">
        <v>909</v>
      </c>
      <c r="E107" s="11" t="s">
        <v>220</v>
      </c>
      <c r="F107" s="12">
        <v>35000</v>
      </c>
      <c r="G107" s="12">
        <v>12600</v>
      </c>
      <c r="H107" s="12"/>
      <c r="I107" s="12"/>
      <c r="J107" s="12">
        <v>47600</v>
      </c>
      <c r="K107" s="16" t="s">
        <v>897</v>
      </c>
      <c r="M107" s="16">
        <v>0</v>
      </c>
      <c r="N107" s="16">
        <f t="shared" si="1"/>
        <v>47600</v>
      </c>
    </row>
    <row r="108" spans="1:14">
      <c r="A108" s="11" t="s">
        <v>38</v>
      </c>
      <c r="B108" s="11" t="s">
        <v>39</v>
      </c>
      <c r="C108" s="11" t="s">
        <v>27</v>
      </c>
      <c r="D108" s="11" t="s">
        <v>910</v>
      </c>
      <c r="E108" s="11" t="s">
        <v>220</v>
      </c>
      <c r="F108" s="12">
        <v>29600</v>
      </c>
      <c r="G108" s="12">
        <v>16000</v>
      </c>
      <c r="H108" s="12"/>
      <c r="I108" s="12"/>
      <c r="J108" s="12">
        <v>45600</v>
      </c>
      <c r="K108" s="16" t="s">
        <v>897</v>
      </c>
      <c r="M108" s="16">
        <v>0</v>
      </c>
      <c r="N108" s="16">
        <f t="shared" si="1"/>
        <v>45600</v>
      </c>
    </row>
    <row r="109" spans="1:14">
      <c r="A109" s="11" t="s">
        <v>18</v>
      </c>
      <c r="B109" s="11" t="s">
        <v>19</v>
      </c>
      <c r="C109" s="11" t="s">
        <v>20</v>
      </c>
      <c r="D109" s="11" t="s">
        <v>167</v>
      </c>
      <c r="E109" s="11" t="s">
        <v>242</v>
      </c>
      <c r="F109" s="12">
        <v>53300</v>
      </c>
      <c r="G109" s="12">
        <v>42000</v>
      </c>
      <c r="H109" s="12"/>
      <c r="I109" s="12"/>
      <c r="J109" s="12">
        <v>95300</v>
      </c>
      <c r="K109" s="16" t="s">
        <v>340</v>
      </c>
      <c r="M109" s="16">
        <v>0</v>
      </c>
      <c r="N109" s="16">
        <f t="shared" si="1"/>
        <v>95300</v>
      </c>
    </row>
    <row r="110" spans="1:14">
      <c r="A110" s="11" t="s">
        <v>53</v>
      </c>
      <c r="B110" s="11" t="s">
        <v>54</v>
      </c>
      <c r="C110" s="11" t="s">
        <v>20</v>
      </c>
      <c r="D110" s="11" t="s">
        <v>69</v>
      </c>
      <c r="E110" s="11" t="s">
        <v>220</v>
      </c>
      <c r="F110" s="12">
        <v>18549</v>
      </c>
      <c r="G110" s="12"/>
      <c r="H110" s="12"/>
      <c r="I110" s="12"/>
      <c r="J110" s="12">
        <v>18549</v>
      </c>
      <c r="K110" s="16" t="s">
        <v>897</v>
      </c>
      <c r="M110" s="16">
        <v>8211</v>
      </c>
      <c r="N110" s="16">
        <f t="shared" si="1"/>
        <v>26760</v>
      </c>
    </row>
    <row r="111" spans="1:14">
      <c r="A111" s="11" t="s">
        <v>38</v>
      </c>
      <c r="B111" s="11" t="s">
        <v>39</v>
      </c>
      <c r="C111" s="11" t="s">
        <v>27</v>
      </c>
      <c r="D111" s="11" t="s">
        <v>325</v>
      </c>
      <c r="E111" s="11" t="s">
        <v>220</v>
      </c>
      <c r="F111" s="12">
        <v>5300</v>
      </c>
      <c r="G111" s="12"/>
      <c r="H111" s="12"/>
      <c r="I111" s="12"/>
      <c r="J111" s="12">
        <v>5300</v>
      </c>
      <c r="K111" s="16" t="s">
        <v>897</v>
      </c>
      <c r="M111" s="16">
        <v>2200</v>
      </c>
      <c r="N111" s="16">
        <f t="shared" si="1"/>
        <v>7500</v>
      </c>
    </row>
    <row r="112" spans="1:14">
      <c r="A112" s="11" t="s">
        <v>21</v>
      </c>
      <c r="B112" s="11" t="s">
        <v>22</v>
      </c>
      <c r="C112" s="11" t="s">
        <v>20</v>
      </c>
      <c r="D112" s="11" t="s">
        <v>99</v>
      </c>
      <c r="E112" s="11" t="s">
        <v>268</v>
      </c>
      <c r="F112" s="12">
        <v>24226</v>
      </c>
      <c r="G112" s="12"/>
      <c r="H112" s="12"/>
      <c r="I112" s="12"/>
      <c r="J112" s="12">
        <v>24226</v>
      </c>
      <c r="K112" s="16" t="s">
        <v>897</v>
      </c>
      <c r="M112" s="16">
        <v>8514</v>
      </c>
      <c r="N112" s="16">
        <f t="shared" si="1"/>
        <v>32740</v>
      </c>
    </row>
    <row r="113" spans="1:14">
      <c r="A113" s="11" t="s">
        <v>18</v>
      </c>
      <c r="B113" s="11" t="s">
        <v>19</v>
      </c>
      <c r="C113" s="11" t="s">
        <v>20</v>
      </c>
      <c r="D113" s="11" t="s">
        <v>103</v>
      </c>
      <c r="E113" s="11" t="s">
        <v>220</v>
      </c>
      <c r="F113" s="12">
        <v>47651</v>
      </c>
      <c r="G113" s="12"/>
      <c r="H113" s="12"/>
      <c r="I113" s="12"/>
      <c r="J113" s="12">
        <v>47651</v>
      </c>
      <c r="K113" s="16" t="s">
        <v>897</v>
      </c>
      <c r="M113" s="16">
        <v>28000</v>
      </c>
      <c r="N113" s="16">
        <f t="shared" si="1"/>
        <v>75651</v>
      </c>
    </row>
    <row r="114" spans="1:14">
      <c r="A114" s="11" t="s">
        <v>34</v>
      </c>
      <c r="B114" s="11" t="s">
        <v>35</v>
      </c>
      <c r="C114" s="11" t="s">
        <v>27</v>
      </c>
      <c r="D114" s="11" t="s">
        <v>112</v>
      </c>
      <c r="E114" s="11" t="s">
        <v>220</v>
      </c>
      <c r="F114" s="12">
        <v>30901</v>
      </c>
      <c r="G114" s="12"/>
      <c r="H114" s="12"/>
      <c r="I114" s="12"/>
      <c r="J114" s="12">
        <v>30901</v>
      </c>
      <c r="K114" s="16" t="s">
        <v>340</v>
      </c>
      <c r="M114" s="16">
        <v>0</v>
      </c>
      <c r="N114" s="16">
        <f t="shared" si="1"/>
        <v>30901</v>
      </c>
    </row>
    <row r="115" spans="1:14">
      <c r="A115" s="11" t="s">
        <v>25</v>
      </c>
      <c r="B115" s="11" t="s">
        <v>26</v>
      </c>
      <c r="C115" s="11" t="s">
        <v>27</v>
      </c>
      <c r="D115" s="11" t="s">
        <v>150</v>
      </c>
      <c r="E115" s="11" t="s">
        <v>228</v>
      </c>
      <c r="F115" s="12">
        <v>26579</v>
      </c>
      <c r="G115" s="12"/>
      <c r="H115" s="12"/>
      <c r="I115" s="12"/>
      <c r="J115" s="12">
        <v>26579</v>
      </c>
      <c r="K115" s="16" t="s">
        <v>340</v>
      </c>
      <c r="M115" s="16">
        <v>0</v>
      </c>
      <c r="N115" s="16">
        <f t="shared" si="1"/>
        <v>26579</v>
      </c>
    </row>
    <row r="116" spans="1:14">
      <c r="A116" s="11" t="s">
        <v>23</v>
      </c>
      <c r="B116" s="11" t="s">
        <v>24</v>
      </c>
      <c r="C116" s="11" t="s">
        <v>20</v>
      </c>
      <c r="D116" s="11" t="s">
        <v>94</v>
      </c>
      <c r="E116" s="11" t="s">
        <v>220</v>
      </c>
      <c r="F116" s="12">
        <v>19836</v>
      </c>
      <c r="G116" s="12"/>
      <c r="H116" s="12"/>
      <c r="I116" s="12"/>
      <c r="J116" s="12">
        <v>19836</v>
      </c>
      <c r="K116" s="16" t="s">
        <v>897</v>
      </c>
      <c r="M116" s="16">
        <v>13377</v>
      </c>
      <c r="N116" s="16">
        <f t="shared" si="1"/>
        <v>33213</v>
      </c>
    </row>
    <row r="117" spans="1:14">
      <c r="A117" s="11" t="s">
        <v>18</v>
      </c>
      <c r="B117" s="11" t="s">
        <v>19</v>
      </c>
      <c r="C117" s="11" t="s">
        <v>20</v>
      </c>
      <c r="D117" s="11" t="s">
        <v>168</v>
      </c>
      <c r="E117" s="11" t="s">
        <v>220</v>
      </c>
      <c r="F117" s="12">
        <v>12800</v>
      </c>
      <c r="G117" s="12">
        <v>29018</v>
      </c>
      <c r="H117" s="12"/>
      <c r="I117" s="12"/>
      <c r="J117" s="12">
        <v>41818</v>
      </c>
      <c r="K117" s="16" t="s">
        <v>340</v>
      </c>
      <c r="M117" s="16">
        <v>0</v>
      </c>
      <c r="N117" s="16">
        <f t="shared" si="1"/>
        <v>41818</v>
      </c>
    </row>
    <row r="118" spans="1:14">
      <c r="A118" s="11" t="s">
        <v>36</v>
      </c>
      <c r="B118" s="11" t="s">
        <v>37</v>
      </c>
      <c r="C118" s="11" t="s">
        <v>27</v>
      </c>
      <c r="D118" s="11" t="s">
        <v>131</v>
      </c>
      <c r="E118" s="11" t="s">
        <v>220</v>
      </c>
      <c r="F118" s="12">
        <v>13780</v>
      </c>
      <c r="G118" s="12">
        <v>4480</v>
      </c>
      <c r="H118" s="12"/>
      <c r="I118" s="12"/>
      <c r="J118" s="12">
        <v>18260</v>
      </c>
      <c r="K118" s="16" t="s">
        <v>340</v>
      </c>
      <c r="M118" s="16">
        <v>0</v>
      </c>
      <c r="N118" s="16">
        <f t="shared" si="1"/>
        <v>18260</v>
      </c>
    </row>
    <row r="119" spans="1:14">
      <c r="A119" s="11" t="s">
        <v>36</v>
      </c>
      <c r="B119" s="11" t="s">
        <v>37</v>
      </c>
      <c r="C119" s="11" t="s">
        <v>27</v>
      </c>
      <c r="D119" s="11" t="s">
        <v>236</v>
      </c>
      <c r="E119" s="11" t="s">
        <v>220</v>
      </c>
      <c r="F119" s="12"/>
      <c r="G119" s="12">
        <v>4400</v>
      </c>
      <c r="H119" s="12"/>
      <c r="I119" s="12"/>
      <c r="J119" s="12">
        <v>4400</v>
      </c>
      <c r="K119" s="16" t="s">
        <v>340</v>
      </c>
      <c r="M119" s="16">
        <v>0</v>
      </c>
      <c r="N119" s="16">
        <f t="shared" si="1"/>
        <v>4400</v>
      </c>
    </row>
    <row r="120" spans="1:14">
      <c r="A120" s="11" t="s">
        <v>34</v>
      </c>
      <c r="B120" s="11" t="s">
        <v>35</v>
      </c>
      <c r="C120" s="11" t="s">
        <v>27</v>
      </c>
      <c r="D120" s="11" t="s">
        <v>113</v>
      </c>
      <c r="E120" s="11" t="s">
        <v>220</v>
      </c>
      <c r="F120" s="12">
        <v>10956</v>
      </c>
      <c r="G120" s="12"/>
      <c r="H120" s="12"/>
      <c r="I120" s="12"/>
      <c r="J120" s="12">
        <v>10956</v>
      </c>
      <c r="K120" s="16" t="s">
        <v>340</v>
      </c>
      <c r="M120" s="16">
        <v>0</v>
      </c>
      <c r="N120" s="16">
        <f t="shared" si="1"/>
        <v>10956</v>
      </c>
    </row>
    <row r="121" spans="1:14">
      <c r="A121" s="11" t="s">
        <v>18</v>
      </c>
      <c r="B121" s="11" t="s">
        <v>19</v>
      </c>
      <c r="C121" s="11" t="s">
        <v>20</v>
      </c>
      <c r="D121" s="11" t="s">
        <v>169</v>
      </c>
      <c r="E121" s="11" t="s">
        <v>244</v>
      </c>
      <c r="F121" s="12">
        <v>39550</v>
      </c>
      <c r="G121" s="12">
        <v>2779</v>
      </c>
      <c r="H121" s="12">
        <v>8960</v>
      </c>
      <c r="I121" s="12"/>
      <c r="J121" s="12">
        <v>51289</v>
      </c>
      <c r="K121" s="16" t="s">
        <v>340</v>
      </c>
      <c r="M121" s="16">
        <v>0</v>
      </c>
      <c r="N121" s="16">
        <f t="shared" si="1"/>
        <v>51289</v>
      </c>
    </row>
    <row r="122" spans="1:14">
      <c r="A122" s="11" t="s">
        <v>18</v>
      </c>
      <c r="B122" s="11" t="s">
        <v>19</v>
      </c>
      <c r="C122" s="11" t="s">
        <v>20</v>
      </c>
      <c r="D122" s="11" t="s">
        <v>170</v>
      </c>
      <c r="E122" s="11" t="s">
        <v>249</v>
      </c>
      <c r="F122" s="12">
        <v>47300</v>
      </c>
      <c r="G122" s="12">
        <v>27400</v>
      </c>
      <c r="H122" s="12"/>
      <c r="I122" s="12"/>
      <c r="J122" s="12">
        <v>74700</v>
      </c>
      <c r="K122" s="16" t="s">
        <v>340</v>
      </c>
      <c r="M122" s="16">
        <v>0</v>
      </c>
      <c r="N122" s="16">
        <f t="shared" si="1"/>
        <v>74700</v>
      </c>
    </row>
    <row r="123" spans="1:14">
      <c r="A123" s="11" t="s">
        <v>38</v>
      </c>
      <c r="B123" s="11" t="s">
        <v>39</v>
      </c>
      <c r="C123" s="11" t="s">
        <v>27</v>
      </c>
      <c r="D123" s="11" t="s">
        <v>324</v>
      </c>
      <c r="E123" s="11" t="s">
        <v>220</v>
      </c>
      <c r="F123" s="12">
        <v>29076</v>
      </c>
      <c r="G123" s="12"/>
      <c r="H123" s="12"/>
      <c r="I123" s="12"/>
      <c r="J123" s="12">
        <v>29076</v>
      </c>
      <c r="K123" s="16" t="s">
        <v>897</v>
      </c>
      <c r="M123" s="16">
        <v>7440</v>
      </c>
      <c r="N123" s="16">
        <f t="shared" si="1"/>
        <v>36516</v>
      </c>
    </row>
    <row r="124" spans="1:14">
      <c r="A124" s="11" t="s">
        <v>40</v>
      </c>
      <c r="B124" s="11" t="s">
        <v>41</v>
      </c>
      <c r="C124" s="11" t="s">
        <v>27</v>
      </c>
      <c r="D124" s="11" t="s">
        <v>911</v>
      </c>
      <c r="E124" s="11" t="s">
        <v>220</v>
      </c>
      <c r="F124" s="12">
        <v>286</v>
      </c>
      <c r="G124" s="12"/>
      <c r="H124" s="12"/>
      <c r="I124" s="12"/>
      <c r="J124" s="12">
        <v>286</v>
      </c>
      <c r="K124" s="16" t="s">
        <v>897</v>
      </c>
      <c r="M124" s="16">
        <v>0</v>
      </c>
      <c r="N124" s="16">
        <f t="shared" si="1"/>
        <v>286</v>
      </c>
    </row>
    <row r="125" spans="1:14">
      <c r="A125" s="11" t="s">
        <v>45</v>
      </c>
      <c r="B125" s="11" t="s">
        <v>298</v>
      </c>
      <c r="C125" s="11"/>
      <c r="D125" s="11" t="s">
        <v>332</v>
      </c>
      <c r="E125" s="11" t="s">
        <v>220</v>
      </c>
      <c r="F125" s="12">
        <v>13182</v>
      </c>
      <c r="G125" s="12"/>
      <c r="H125" s="12"/>
      <c r="I125" s="12"/>
      <c r="J125" s="12">
        <v>13182</v>
      </c>
      <c r="K125" s="16" t="s">
        <v>897</v>
      </c>
      <c r="M125" s="16">
        <v>0</v>
      </c>
      <c r="N125" s="16">
        <f t="shared" si="1"/>
        <v>13182</v>
      </c>
    </row>
    <row r="126" spans="1:14">
      <c r="A126" s="11" t="s">
        <v>21</v>
      </c>
      <c r="B126" s="11" t="s">
        <v>22</v>
      </c>
      <c r="C126" s="11" t="s">
        <v>20</v>
      </c>
      <c r="D126" s="11" t="s">
        <v>100</v>
      </c>
      <c r="E126" s="11" t="s">
        <v>220</v>
      </c>
      <c r="F126" s="12">
        <v>10800</v>
      </c>
      <c r="G126" s="12">
        <v>2200</v>
      </c>
      <c r="H126" s="12"/>
      <c r="I126" s="12"/>
      <c r="J126" s="12">
        <v>13000</v>
      </c>
      <c r="K126" s="16" t="s">
        <v>897</v>
      </c>
      <c r="M126" s="16">
        <v>0</v>
      </c>
      <c r="N126" s="16">
        <f t="shared" si="1"/>
        <v>13000</v>
      </c>
    </row>
    <row r="127" spans="1:14">
      <c r="A127" s="11" t="s">
        <v>40</v>
      </c>
      <c r="B127" s="11" t="s">
        <v>41</v>
      </c>
      <c r="C127" s="11" t="s">
        <v>27</v>
      </c>
      <c r="D127" s="11" t="s">
        <v>300</v>
      </c>
      <c r="E127" s="11" t="s">
        <v>220</v>
      </c>
      <c r="F127" s="12">
        <v>70200</v>
      </c>
      <c r="G127" s="12"/>
      <c r="H127" s="12">
        <v>800</v>
      </c>
      <c r="I127" s="12"/>
      <c r="J127" s="12">
        <v>71000</v>
      </c>
      <c r="K127" s="16" t="s">
        <v>897</v>
      </c>
      <c r="M127" s="16">
        <v>27370</v>
      </c>
      <c r="N127" s="16">
        <f t="shared" si="1"/>
        <v>98370</v>
      </c>
    </row>
    <row r="128" spans="1:14">
      <c r="A128" s="11" t="s">
        <v>42</v>
      </c>
      <c r="B128" s="11" t="s">
        <v>298</v>
      </c>
      <c r="C128" s="11"/>
      <c r="D128" s="11" t="s">
        <v>308</v>
      </c>
      <c r="E128" s="11" t="s">
        <v>309</v>
      </c>
      <c r="F128" s="12">
        <v>48328</v>
      </c>
      <c r="G128" s="12">
        <v>200</v>
      </c>
      <c r="H128" s="12"/>
      <c r="I128" s="12"/>
      <c r="J128" s="12">
        <v>48528</v>
      </c>
      <c r="K128" s="16" t="s">
        <v>340</v>
      </c>
      <c r="M128" s="16">
        <v>28657</v>
      </c>
      <c r="N128" s="16">
        <f t="shared" si="1"/>
        <v>77185</v>
      </c>
    </row>
    <row r="129" spans="1:14">
      <c r="A129" s="11" t="s">
        <v>40</v>
      </c>
      <c r="B129" s="11" t="s">
        <v>41</v>
      </c>
      <c r="C129" s="11" t="s">
        <v>27</v>
      </c>
      <c r="D129" s="11" t="s">
        <v>307</v>
      </c>
      <c r="E129" s="11" t="s">
        <v>220</v>
      </c>
      <c r="F129" s="12">
        <v>6620</v>
      </c>
      <c r="G129" s="12"/>
      <c r="H129" s="12"/>
      <c r="I129" s="12"/>
      <c r="J129" s="12">
        <v>6620</v>
      </c>
      <c r="K129" s="16" t="s">
        <v>897</v>
      </c>
      <c r="M129" s="16">
        <v>3000</v>
      </c>
      <c r="N129" s="16">
        <f t="shared" si="1"/>
        <v>9620</v>
      </c>
    </row>
    <row r="130" spans="1:14">
      <c r="A130" s="11" t="s">
        <v>40</v>
      </c>
      <c r="B130" s="11" t="s">
        <v>41</v>
      </c>
      <c r="C130" s="11" t="s">
        <v>27</v>
      </c>
      <c r="D130" s="11" t="s">
        <v>306</v>
      </c>
      <c r="E130" s="11" t="s">
        <v>220</v>
      </c>
      <c r="F130" s="12">
        <v>5800</v>
      </c>
      <c r="G130" s="12"/>
      <c r="H130" s="12"/>
      <c r="I130" s="12"/>
      <c r="J130" s="12">
        <v>5800</v>
      </c>
      <c r="K130" s="16" t="s">
        <v>897</v>
      </c>
      <c r="M130" s="16">
        <v>600</v>
      </c>
      <c r="N130" s="16">
        <f t="shared" si="1"/>
        <v>6400</v>
      </c>
    </row>
    <row r="131" spans="1:14">
      <c r="A131" s="11" t="s">
        <v>34</v>
      </c>
      <c r="B131" s="11" t="s">
        <v>35</v>
      </c>
      <c r="C131" s="11" t="s">
        <v>27</v>
      </c>
      <c r="D131" s="11" t="s">
        <v>114</v>
      </c>
      <c r="E131" s="11" t="s">
        <v>255</v>
      </c>
      <c r="F131" s="12">
        <v>2000</v>
      </c>
      <c r="G131" s="12"/>
      <c r="H131" s="12"/>
      <c r="I131" s="12"/>
      <c r="J131" s="12">
        <v>2000</v>
      </c>
      <c r="K131" s="16" t="s">
        <v>340</v>
      </c>
      <c r="M131" s="16">
        <v>0</v>
      </c>
      <c r="N131" s="16">
        <f t="shared" si="1"/>
        <v>2000</v>
      </c>
    </row>
    <row r="132" spans="1:14">
      <c r="A132" s="11" t="s">
        <v>25</v>
      </c>
      <c r="B132" s="11" t="s">
        <v>26</v>
      </c>
      <c r="C132" s="11" t="s">
        <v>27</v>
      </c>
      <c r="D132" s="11" t="s">
        <v>151</v>
      </c>
      <c r="E132" s="11" t="s">
        <v>220</v>
      </c>
      <c r="F132" s="12">
        <v>3251</v>
      </c>
      <c r="G132" s="12">
        <v>2200</v>
      </c>
      <c r="H132" s="12"/>
      <c r="I132" s="12"/>
      <c r="J132" s="12">
        <v>5451</v>
      </c>
      <c r="K132" s="16" t="s">
        <v>340</v>
      </c>
      <c r="M132" s="16">
        <v>0</v>
      </c>
      <c r="N132" s="16">
        <f t="shared" si="1"/>
        <v>5451</v>
      </c>
    </row>
    <row r="133" spans="1:14">
      <c r="A133" s="11" t="s">
        <v>38</v>
      </c>
      <c r="B133" s="11" t="s">
        <v>39</v>
      </c>
      <c r="C133" s="11" t="s">
        <v>27</v>
      </c>
      <c r="D133" s="11" t="s">
        <v>912</v>
      </c>
      <c r="E133" s="11" t="s">
        <v>220</v>
      </c>
      <c r="F133" s="12">
        <v>11900</v>
      </c>
      <c r="G133" s="12"/>
      <c r="H133" s="12"/>
      <c r="I133" s="12"/>
      <c r="J133" s="12">
        <v>11900</v>
      </c>
      <c r="K133" s="16" t="s">
        <v>897</v>
      </c>
      <c r="M133" s="16">
        <v>0</v>
      </c>
      <c r="N133" s="16">
        <f t="shared" ref="N133:N196" si="2">J133+M133</f>
        <v>11900</v>
      </c>
    </row>
    <row r="134" spans="1:14">
      <c r="A134" s="11" t="s">
        <v>38</v>
      </c>
      <c r="B134" s="11" t="s">
        <v>39</v>
      </c>
      <c r="C134" s="11" t="s">
        <v>27</v>
      </c>
      <c r="D134" s="11" t="s">
        <v>913</v>
      </c>
      <c r="E134" s="11" t="s">
        <v>244</v>
      </c>
      <c r="F134" s="12">
        <v>684</v>
      </c>
      <c r="G134" s="12"/>
      <c r="H134" s="12"/>
      <c r="I134" s="12"/>
      <c r="J134" s="12">
        <v>684</v>
      </c>
      <c r="K134" s="16" t="s">
        <v>897</v>
      </c>
      <c r="M134" s="16">
        <v>0</v>
      </c>
      <c r="N134" s="16">
        <f t="shared" si="2"/>
        <v>684</v>
      </c>
    </row>
    <row r="135" spans="1:14">
      <c r="A135" s="11" t="s">
        <v>40</v>
      </c>
      <c r="B135" s="11" t="s">
        <v>41</v>
      </c>
      <c r="C135" s="11" t="s">
        <v>27</v>
      </c>
      <c r="D135" s="11" t="s">
        <v>914</v>
      </c>
      <c r="E135" s="11" t="s">
        <v>309</v>
      </c>
      <c r="F135" s="12">
        <v>4225</v>
      </c>
      <c r="G135" s="12"/>
      <c r="H135" s="12"/>
      <c r="I135" s="12"/>
      <c r="J135" s="12">
        <v>4225</v>
      </c>
      <c r="K135" s="16" t="s">
        <v>340</v>
      </c>
      <c r="M135" s="16">
        <v>0</v>
      </c>
      <c r="N135" s="16">
        <f t="shared" si="2"/>
        <v>4225</v>
      </c>
    </row>
    <row r="136" spans="1:14">
      <c r="A136" s="11" t="s">
        <v>34</v>
      </c>
      <c r="B136" s="11" t="s">
        <v>35</v>
      </c>
      <c r="C136" s="11" t="s">
        <v>27</v>
      </c>
      <c r="D136" s="11" t="s">
        <v>115</v>
      </c>
      <c r="E136" s="11" t="s">
        <v>220</v>
      </c>
      <c r="F136" s="12">
        <v>1100</v>
      </c>
      <c r="G136" s="12">
        <v>3000</v>
      </c>
      <c r="H136" s="12">
        <v>600</v>
      </c>
      <c r="I136" s="12"/>
      <c r="J136" s="12">
        <v>4700</v>
      </c>
      <c r="K136" s="16" t="s">
        <v>340</v>
      </c>
      <c r="M136" s="16">
        <v>0</v>
      </c>
      <c r="N136" s="16">
        <f t="shared" si="2"/>
        <v>4700</v>
      </c>
    </row>
    <row r="137" spans="1:14">
      <c r="A137" s="11" t="s">
        <v>36</v>
      </c>
      <c r="B137" s="11" t="s">
        <v>37</v>
      </c>
      <c r="C137" s="11" t="s">
        <v>27</v>
      </c>
      <c r="D137" s="11" t="s">
        <v>132</v>
      </c>
      <c r="E137" s="11" t="s">
        <v>220</v>
      </c>
      <c r="F137" s="12">
        <v>3100</v>
      </c>
      <c r="G137" s="12"/>
      <c r="H137" s="12"/>
      <c r="I137" s="12"/>
      <c r="J137" s="12">
        <v>3100</v>
      </c>
      <c r="K137" s="16" t="s">
        <v>340</v>
      </c>
      <c r="M137" s="16">
        <v>0</v>
      </c>
      <c r="N137" s="16">
        <f t="shared" si="2"/>
        <v>3100</v>
      </c>
    </row>
    <row r="138" spans="1:14">
      <c r="A138" s="11" t="s">
        <v>40</v>
      </c>
      <c r="B138" s="11" t="s">
        <v>41</v>
      </c>
      <c r="C138" s="11" t="s">
        <v>27</v>
      </c>
      <c r="D138" s="11" t="s">
        <v>343</v>
      </c>
      <c r="E138" s="11" t="s">
        <v>344</v>
      </c>
      <c r="F138" s="12">
        <v>14989</v>
      </c>
      <c r="G138" s="12"/>
      <c r="H138" s="12"/>
      <c r="I138" s="12"/>
      <c r="J138" s="12">
        <v>14989</v>
      </c>
      <c r="K138" s="16" t="s">
        <v>340</v>
      </c>
      <c r="M138" s="16">
        <v>0</v>
      </c>
      <c r="N138" s="16">
        <f t="shared" si="2"/>
        <v>14989</v>
      </c>
    </row>
    <row r="139" spans="1:14">
      <c r="A139" s="11" t="s">
        <v>18</v>
      </c>
      <c r="B139" s="11" t="s">
        <v>19</v>
      </c>
      <c r="C139" s="11" t="s">
        <v>20</v>
      </c>
      <c r="D139" s="11" t="s">
        <v>171</v>
      </c>
      <c r="E139" s="11" t="s">
        <v>242</v>
      </c>
      <c r="F139" s="12">
        <v>50863</v>
      </c>
      <c r="G139" s="12">
        <v>32357</v>
      </c>
      <c r="H139" s="12"/>
      <c r="I139" s="12"/>
      <c r="J139" s="12">
        <v>83220</v>
      </c>
      <c r="K139" s="16" t="s">
        <v>340</v>
      </c>
      <c r="M139" s="16">
        <v>0</v>
      </c>
      <c r="N139" s="16">
        <f t="shared" si="2"/>
        <v>83220</v>
      </c>
    </row>
    <row r="140" spans="1:14">
      <c r="A140" s="11" t="s">
        <v>34</v>
      </c>
      <c r="B140" s="11" t="s">
        <v>35</v>
      </c>
      <c r="C140" s="11" t="s">
        <v>27</v>
      </c>
      <c r="D140" s="11" t="s">
        <v>116</v>
      </c>
      <c r="E140" s="11" t="s">
        <v>220</v>
      </c>
      <c r="F140" s="12">
        <v>2800</v>
      </c>
      <c r="G140" s="12">
        <v>1600</v>
      </c>
      <c r="H140" s="12"/>
      <c r="I140" s="12"/>
      <c r="J140" s="12">
        <v>4400</v>
      </c>
      <c r="K140" s="16" t="s">
        <v>340</v>
      </c>
      <c r="M140" s="16">
        <v>0</v>
      </c>
      <c r="N140" s="16">
        <f t="shared" si="2"/>
        <v>4400</v>
      </c>
    </row>
    <row r="141" spans="1:14">
      <c r="A141" s="11" t="s">
        <v>25</v>
      </c>
      <c r="B141" s="11" t="s">
        <v>26</v>
      </c>
      <c r="C141" s="11" t="s">
        <v>27</v>
      </c>
      <c r="D141" s="11" t="s">
        <v>152</v>
      </c>
      <c r="E141" s="11" t="s">
        <v>220</v>
      </c>
      <c r="F141" s="12">
        <v>4639</v>
      </c>
      <c r="G141" s="12"/>
      <c r="H141" s="12"/>
      <c r="I141" s="12"/>
      <c r="J141" s="12">
        <v>4639</v>
      </c>
      <c r="K141" s="16" t="s">
        <v>340</v>
      </c>
      <c r="M141" s="16">
        <v>0</v>
      </c>
      <c r="N141" s="16">
        <f t="shared" si="2"/>
        <v>4639</v>
      </c>
    </row>
    <row r="142" spans="1:14">
      <c r="A142" s="11" t="s">
        <v>38</v>
      </c>
      <c r="B142" s="11" t="s">
        <v>39</v>
      </c>
      <c r="C142" s="11" t="s">
        <v>27</v>
      </c>
      <c r="D142" s="11" t="s">
        <v>915</v>
      </c>
      <c r="E142" s="11" t="s">
        <v>266</v>
      </c>
      <c r="F142" s="12">
        <v>2468</v>
      </c>
      <c r="G142" s="12"/>
      <c r="H142" s="12"/>
      <c r="I142" s="12"/>
      <c r="J142" s="12">
        <v>2468</v>
      </c>
      <c r="K142" s="16" t="s">
        <v>897</v>
      </c>
      <c r="M142" s="16">
        <v>0</v>
      </c>
      <c r="N142" s="16">
        <f t="shared" si="2"/>
        <v>2468</v>
      </c>
    </row>
    <row r="143" spans="1:14">
      <c r="A143" s="11" t="s">
        <v>38</v>
      </c>
      <c r="B143" s="11" t="s">
        <v>39</v>
      </c>
      <c r="C143" s="11" t="s">
        <v>27</v>
      </c>
      <c r="D143" s="11" t="s">
        <v>97</v>
      </c>
      <c r="E143" s="11" t="s">
        <v>266</v>
      </c>
      <c r="F143" s="12">
        <v>1810</v>
      </c>
      <c r="G143" s="12"/>
      <c r="H143" s="12"/>
      <c r="I143" s="12"/>
      <c r="J143" s="12">
        <v>1810</v>
      </c>
      <c r="K143" s="16" t="s">
        <v>897</v>
      </c>
      <c r="M143" s="16">
        <v>0</v>
      </c>
      <c r="N143" s="16">
        <f t="shared" si="2"/>
        <v>1810</v>
      </c>
    </row>
    <row r="144" spans="1:14">
      <c r="A144" s="11" t="s">
        <v>25</v>
      </c>
      <c r="B144" s="11" t="s">
        <v>26</v>
      </c>
      <c r="C144" s="11" t="s">
        <v>27</v>
      </c>
      <c r="D144" s="11" t="s">
        <v>153</v>
      </c>
      <c r="E144" s="11" t="s">
        <v>220</v>
      </c>
      <c r="F144" s="12">
        <v>9792</v>
      </c>
      <c r="G144" s="12"/>
      <c r="H144" s="12"/>
      <c r="I144" s="12"/>
      <c r="J144" s="12">
        <v>9792</v>
      </c>
      <c r="K144" s="16" t="s">
        <v>340</v>
      </c>
      <c r="M144" s="16">
        <v>0</v>
      </c>
      <c r="N144" s="16">
        <f t="shared" si="2"/>
        <v>9792</v>
      </c>
    </row>
    <row r="145" spans="1:14">
      <c r="A145" s="11" t="s">
        <v>34</v>
      </c>
      <c r="B145" s="11" t="s">
        <v>35</v>
      </c>
      <c r="C145" s="11" t="s">
        <v>27</v>
      </c>
      <c r="D145" s="11" t="s">
        <v>253</v>
      </c>
      <c r="E145" s="11" t="s">
        <v>220</v>
      </c>
      <c r="F145" s="12"/>
      <c r="G145" s="12">
        <v>31529</v>
      </c>
      <c r="H145" s="12"/>
      <c r="I145" s="12"/>
      <c r="J145" s="12">
        <v>31529</v>
      </c>
      <c r="K145" s="16" t="s">
        <v>340</v>
      </c>
      <c r="M145" s="16">
        <v>0</v>
      </c>
      <c r="N145" s="16">
        <f t="shared" si="2"/>
        <v>31529</v>
      </c>
    </row>
    <row r="146" spans="1:14">
      <c r="A146" s="11" t="s">
        <v>34</v>
      </c>
      <c r="B146" s="11" t="s">
        <v>35</v>
      </c>
      <c r="C146" s="11" t="s">
        <v>27</v>
      </c>
      <c r="D146" s="11" t="s">
        <v>117</v>
      </c>
      <c r="E146" s="11" t="s">
        <v>220</v>
      </c>
      <c r="F146" s="12">
        <v>19846</v>
      </c>
      <c r="G146" s="12">
        <v>11189</v>
      </c>
      <c r="H146" s="12"/>
      <c r="I146" s="12"/>
      <c r="J146" s="12">
        <v>31035</v>
      </c>
      <c r="K146" s="16" t="s">
        <v>340</v>
      </c>
      <c r="M146" s="16">
        <v>0</v>
      </c>
      <c r="N146" s="16">
        <f t="shared" si="2"/>
        <v>31035</v>
      </c>
    </row>
    <row r="147" spans="1:14">
      <c r="A147" s="11" t="s">
        <v>40</v>
      </c>
      <c r="B147" s="11" t="s">
        <v>41</v>
      </c>
      <c r="C147" s="11" t="s">
        <v>27</v>
      </c>
      <c r="D147" s="11" t="s">
        <v>295</v>
      </c>
      <c r="E147" s="11" t="s">
        <v>220</v>
      </c>
      <c r="F147" s="12">
        <v>3598</v>
      </c>
      <c r="G147" s="12"/>
      <c r="H147" s="12"/>
      <c r="I147" s="12"/>
      <c r="J147" s="12">
        <v>3598</v>
      </c>
      <c r="K147" s="16" t="s">
        <v>897</v>
      </c>
      <c r="M147" s="16">
        <v>1512</v>
      </c>
      <c r="N147" s="16">
        <f t="shared" si="2"/>
        <v>5110</v>
      </c>
    </row>
    <row r="148" spans="1:14">
      <c r="A148" s="11" t="s">
        <v>38</v>
      </c>
      <c r="B148" s="11" t="s">
        <v>39</v>
      </c>
      <c r="C148" s="11" t="s">
        <v>27</v>
      </c>
      <c r="D148" s="11" t="s">
        <v>98</v>
      </c>
      <c r="E148" s="11" t="s">
        <v>220</v>
      </c>
      <c r="F148" s="12">
        <v>60285</v>
      </c>
      <c r="G148" s="12">
        <v>2400</v>
      </c>
      <c r="H148" s="12"/>
      <c r="I148" s="12"/>
      <c r="J148" s="12">
        <v>62685</v>
      </c>
      <c r="K148" s="16" t="s">
        <v>897</v>
      </c>
      <c r="M148" s="16">
        <v>12511</v>
      </c>
      <c r="N148" s="16">
        <f t="shared" si="2"/>
        <v>75196</v>
      </c>
    </row>
    <row r="149" spans="1:14">
      <c r="A149" s="11" t="s">
        <v>36</v>
      </c>
      <c r="B149" s="11" t="s">
        <v>37</v>
      </c>
      <c r="C149" s="11" t="s">
        <v>27</v>
      </c>
      <c r="D149" s="11" t="s">
        <v>233</v>
      </c>
      <c r="E149" s="11" t="s">
        <v>220</v>
      </c>
      <c r="F149" s="12"/>
      <c r="G149" s="12">
        <v>11300</v>
      </c>
      <c r="H149" s="12"/>
      <c r="I149" s="12"/>
      <c r="J149" s="12">
        <v>11300</v>
      </c>
      <c r="K149" s="16" t="s">
        <v>340</v>
      </c>
      <c r="M149" s="16">
        <v>0</v>
      </c>
      <c r="N149" s="16">
        <f t="shared" si="2"/>
        <v>11300</v>
      </c>
    </row>
    <row r="150" spans="1:14">
      <c r="A150" s="11" t="s">
        <v>36</v>
      </c>
      <c r="B150" s="11" t="s">
        <v>37</v>
      </c>
      <c r="C150" s="11" t="s">
        <v>27</v>
      </c>
      <c r="D150" s="11" t="s">
        <v>232</v>
      </c>
      <c r="E150" s="11" t="s">
        <v>220</v>
      </c>
      <c r="F150" s="12"/>
      <c r="G150" s="12">
        <v>11500</v>
      </c>
      <c r="H150" s="12">
        <v>3900</v>
      </c>
      <c r="I150" s="12"/>
      <c r="J150" s="12">
        <v>15400</v>
      </c>
      <c r="K150" s="16" t="s">
        <v>340</v>
      </c>
      <c r="M150" s="16">
        <v>0</v>
      </c>
      <c r="N150" s="16">
        <f t="shared" si="2"/>
        <v>15400</v>
      </c>
    </row>
    <row r="151" spans="1:14">
      <c r="A151" s="11" t="s">
        <v>28</v>
      </c>
      <c r="B151" s="11" t="s">
        <v>29</v>
      </c>
      <c r="C151" s="11" t="s">
        <v>20</v>
      </c>
      <c r="D151" s="11" t="s">
        <v>75</v>
      </c>
      <c r="E151" s="11" t="s">
        <v>220</v>
      </c>
      <c r="F151" s="12">
        <v>6200</v>
      </c>
      <c r="G151" s="12">
        <v>9200</v>
      </c>
      <c r="H151" s="12"/>
      <c r="I151" s="12"/>
      <c r="J151" s="12">
        <v>15400</v>
      </c>
      <c r="K151" s="16" t="s">
        <v>897</v>
      </c>
      <c r="M151" s="16">
        <v>0</v>
      </c>
      <c r="N151" s="16">
        <f t="shared" si="2"/>
        <v>15400</v>
      </c>
    </row>
    <row r="152" spans="1:14">
      <c r="A152" s="11" t="s">
        <v>18</v>
      </c>
      <c r="B152" s="11" t="s">
        <v>19</v>
      </c>
      <c r="C152" s="11" t="s">
        <v>20</v>
      </c>
      <c r="D152" s="11" t="s">
        <v>267</v>
      </c>
      <c r="E152" s="11" t="s">
        <v>220</v>
      </c>
      <c r="F152" s="12">
        <v>9000</v>
      </c>
      <c r="G152" s="12">
        <v>3000</v>
      </c>
      <c r="H152" s="12"/>
      <c r="I152" s="12"/>
      <c r="J152" s="12">
        <v>12000</v>
      </c>
      <c r="K152" s="16" t="s">
        <v>897</v>
      </c>
      <c r="M152" s="16">
        <v>0</v>
      </c>
      <c r="N152" s="16">
        <f t="shared" si="2"/>
        <v>12000</v>
      </c>
    </row>
    <row r="153" spans="1:14">
      <c r="A153" s="11" t="s">
        <v>25</v>
      </c>
      <c r="B153" s="11" t="s">
        <v>26</v>
      </c>
      <c r="C153" s="11" t="s">
        <v>27</v>
      </c>
      <c r="D153" s="11" t="s">
        <v>154</v>
      </c>
      <c r="E153" s="11" t="s">
        <v>220</v>
      </c>
      <c r="F153" s="12">
        <v>3950</v>
      </c>
      <c r="G153" s="12"/>
      <c r="H153" s="12"/>
      <c r="I153" s="12"/>
      <c r="J153" s="12">
        <v>3950</v>
      </c>
      <c r="K153" s="16" t="s">
        <v>340</v>
      </c>
      <c r="M153" s="16">
        <v>0</v>
      </c>
      <c r="N153" s="16">
        <f t="shared" si="2"/>
        <v>3950</v>
      </c>
    </row>
    <row r="154" spans="1:14">
      <c r="A154" s="11" t="s">
        <v>25</v>
      </c>
      <c r="B154" s="11" t="s">
        <v>26</v>
      </c>
      <c r="C154" s="11" t="s">
        <v>27</v>
      </c>
      <c r="D154" s="11" t="s">
        <v>155</v>
      </c>
      <c r="E154" s="11" t="s">
        <v>220</v>
      </c>
      <c r="F154" s="12">
        <v>7503</v>
      </c>
      <c r="G154" s="12">
        <v>600</v>
      </c>
      <c r="H154" s="12"/>
      <c r="I154" s="12"/>
      <c r="J154" s="12">
        <v>8103</v>
      </c>
      <c r="K154" s="16" t="s">
        <v>340</v>
      </c>
      <c r="M154" s="16">
        <v>0</v>
      </c>
      <c r="N154" s="16">
        <f t="shared" si="2"/>
        <v>8103</v>
      </c>
    </row>
    <row r="155" spans="1:14">
      <c r="A155" s="11" t="s">
        <v>25</v>
      </c>
      <c r="B155" s="11" t="s">
        <v>26</v>
      </c>
      <c r="C155" s="11" t="s">
        <v>27</v>
      </c>
      <c r="D155" s="11" t="s">
        <v>156</v>
      </c>
      <c r="E155" s="11" t="s">
        <v>257</v>
      </c>
      <c r="F155" s="12">
        <v>4871</v>
      </c>
      <c r="G155" s="12"/>
      <c r="H155" s="12"/>
      <c r="I155" s="12"/>
      <c r="J155" s="12">
        <v>4871</v>
      </c>
      <c r="K155" s="16" t="s">
        <v>340</v>
      </c>
      <c r="M155" s="16">
        <v>0</v>
      </c>
      <c r="N155" s="16">
        <f t="shared" si="2"/>
        <v>4871</v>
      </c>
    </row>
    <row r="156" spans="1:14">
      <c r="A156" s="11" t="s">
        <v>25</v>
      </c>
      <c r="B156" s="11" t="s">
        <v>26</v>
      </c>
      <c r="C156" s="11" t="s">
        <v>27</v>
      </c>
      <c r="D156" s="11" t="s">
        <v>157</v>
      </c>
      <c r="E156" s="11" t="s">
        <v>257</v>
      </c>
      <c r="F156" s="12">
        <v>3171</v>
      </c>
      <c r="G156" s="12">
        <v>50000</v>
      </c>
      <c r="H156" s="12"/>
      <c r="I156" s="12"/>
      <c r="J156" s="12">
        <v>53171</v>
      </c>
      <c r="K156" s="16" t="s">
        <v>340</v>
      </c>
      <c r="M156" s="16">
        <v>0</v>
      </c>
      <c r="N156" s="16">
        <f t="shared" si="2"/>
        <v>53171</v>
      </c>
    </row>
    <row r="157" spans="1:14">
      <c r="A157" s="11" t="s">
        <v>25</v>
      </c>
      <c r="B157" s="11" t="s">
        <v>26</v>
      </c>
      <c r="C157" s="11" t="s">
        <v>27</v>
      </c>
      <c r="D157" s="11" t="s">
        <v>158</v>
      </c>
      <c r="E157" s="11" t="s">
        <v>257</v>
      </c>
      <c r="F157" s="12">
        <v>55020</v>
      </c>
      <c r="G157" s="12">
        <v>110000</v>
      </c>
      <c r="H157" s="12"/>
      <c r="I157" s="12"/>
      <c r="J157" s="12">
        <v>165020</v>
      </c>
      <c r="K157" s="16" t="s">
        <v>340</v>
      </c>
      <c r="M157" s="16">
        <v>0</v>
      </c>
      <c r="N157" s="16">
        <f t="shared" si="2"/>
        <v>165020</v>
      </c>
    </row>
    <row r="158" spans="1:14">
      <c r="A158" s="11" t="s">
        <v>36</v>
      </c>
      <c r="B158" s="11" t="s">
        <v>37</v>
      </c>
      <c r="C158" s="11" t="s">
        <v>27</v>
      </c>
      <c r="D158" s="11" t="s">
        <v>133</v>
      </c>
      <c r="E158" s="11" t="s">
        <v>220</v>
      </c>
      <c r="F158" s="12">
        <v>22400</v>
      </c>
      <c r="G158" s="12"/>
      <c r="H158" s="12">
        <v>11200</v>
      </c>
      <c r="I158" s="12"/>
      <c r="J158" s="12">
        <v>33600</v>
      </c>
      <c r="K158" s="16" t="s">
        <v>340</v>
      </c>
      <c r="M158" s="16">
        <v>0</v>
      </c>
      <c r="N158" s="16">
        <f t="shared" si="2"/>
        <v>33600</v>
      </c>
    </row>
    <row r="159" spans="1:14">
      <c r="A159" s="11" t="s">
        <v>25</v>
      </c>
      <c r="B159" s="11" t="s">
        <v>26</v>
      </c>
      <c r="C159" s="11" t="s">
        <v>27</v>
      </c>
      <c r="D159" s="11" t="s">
        <v>159</v>
      </c>
      <c r="E159" s="11" t="s">
        <v>220</v>
      </c>
      <c r="F159" s="12">
        <v>9500</v>
      </c>
      <c r="G159" s="12"/>
      <c r="H159" s="12"/>
      <c r="I159" s="12"/>
      <c r="J159" s="12">
        <v>9500</v>
      </c>
      <c r="K159" s="16" t="s">
        <v>340</v>
      </c>
      <c r="M159" s="16">
        <v>0</v>
      </c>
      <c r="N159" s="16">
        <f t="shared" si="2"/>
        <v>9500</v>
      </c>
    </row>
    <row r="160" spans="1:14">
      <c r="A160" s="11" t="s">
        <v>25</v>
      </c>
      <c r="B160" s="11" t="s">
        <v>26</v>
      </c>
      <c r="C160" s="11" t="s">
        <v>27</v>
      </c>
      <c r="D160" s="11" t="s">
        <v>160</v>
      </c>
      <c r="E160" s="11" t="s">
        <v>220</v>
      </c>
      <c r="F160" s="12">
        <v>16300</v>
      </c>
      <c r="G160" s="12"/>
      <c r="H160" s="12"/>
      <c r="I160" s="12"/>
      <c r="J160" s="12">
        <v>16300</v>
      </c>
      <c r="K160" s="16" t="s">
        <v>340</v>
      </c>
      <c r="M160" s="16">
        <v>0</v>
      </c>
      <c r="N160" s="16">
        <f t="shared" si="2"/>
        <v>16300</v>
      </c>
    </row>
    <row r="161" spans="1:14">
      <c r="A161" s="11" t="s">
        <v>25</v>
      </c>
      <c r="B161" s="11" t="s">
        <v>26</v>
      </c>
      <c r="C161" s="11" t="s">
        <v>27</v>
      </c>
      <c r="D161" s="11" t="s">
        <v>161</v>
      </c>
      <c r="E161" s="11" t="s">
        <v>220</v>
      </c>
      <c r="F161" s="12">
        <v>136</v>
      </c>
      <c r="G161" s="12"/>
      <c r="H161" s="12"/>
      <c r="I161" s="12"/>
      <c r="J161" s="12">
        <v>136</v>
      </c>
      <c r="K161" s="16" t="s">
        <v>340</v>
      </c>
      <c r="M161" s="16">
        <v>0</v>
      </c>
      <c r="N161" s="16">
        <f t="shared" si="2"/>
        <v>136</v>
      </c>
    </row>
    <row r="162" spans="1:14">
      <c r="A162" s="11" t="s">
        <v>36</v>
      </c>
      <c r="B162" s="11" t="s">
        <v>37</v>
      </c>
      <c r="C162" s="11" t="s">
        <v>27</v>
      </c>
      <c r="D162" s="11" t="s">
        <v>134</v>
      </c>
      <c r="E162" s="11" t="s">
        <v>220</v>
      </c>
      <c r="F162" s="12">
        <v>1300</v>
      </c>
      <c r="G162" s="12"/>
      <c r="H162" s="12"/>
      <c r="I162" s="12"/>
      <c r="J162" s="12">
        <v>1300</v>
      </c>
      <c r="K162" s="16" t="s">
        <v>340</v>
      </c>
      <c r="M162" s="16">
        <v>0</v>
      </c>
      <c r="N162" s="16">
        <f t="shared" si="2"/>
        <v>1300</v>
      </c>
    </row>
    <row r="163" spans="1:14">
      <c r="A163" s="11" t="s">
        <v>51</v>
      </c>
      <c r="B163" s="11" t="s">
        <v>52</v>
      </c>
      <c r="C163" s="11" t="s">
        <v>27</v>
      </c>
      <c r="D163" s="11" t="s">
        <v>64</v>
      </c>
      <c r="E163" s="11" t="s">
        <v>263</v>
      </c>
      <c r="F163" s="12">
        <v>147560</v>
      </c>
      <c r="G163" s="12">
        <v>11600</v>
      </c>
      <c r="H163" s="12">
        <v>38400</v>
      </c>
      <c r="I163" s="12"/>
      <c r="J163" s="12">
        <v>197560</v>
      </c>
      <c r="K163" s="16" t="s">
        <v>897</v>
      </c>
      <c r="M163" s="16">
        <v>19520</v>
      </c>
      <c r="N163" s="16">
        <f t="shared" si="2"/>
        <v>217080</v>
      </c>
    </row>
    <row r="164" spans="1:14">
      <c r="A164" s="11" t="s">
        <v>36</v>
      </c>
      <c r="B164" s="11" t="s">
        <v>37</v>
      </c>
      <c r="C164" s="11" t="s">
        <v>27</v>
      </c>
      <c r="D164" s="11" t="s">
        <v>135</v>
      </c>
      <c r="E164" s="11" t="s">
        <v>220</v>
      </c>
      <c r="F164" s="12">
        <v>9900</v>
      </c>
      <c r="G164" s="12">
        <v>1400</v>
      </c>
      <c r="H164" s="12"/>
      <c r="I164" s="12"/>
      <c r="J164" s="12">
        <v>11300</v>
      </c>
      <c r="K164" s="16" t="s">
        <v>340</v>
      </c>
      <c r="M164" s="16">
        <v>0</v>
      </c>
      <c r="N164" s="16">
        <f t="shared" si="2"/>
        <v>11300</v>
      </c>
    </row>
    <row r="165" spans="1:14">
      <c r="A165" s="11" t="s">
        <v>51</v>
      </c>
      <c r="B165" s="11" t="s">
        <v>52</v>
      </c>
      <c r="C165" s="11" t="s">
        <v>27</v>
      </c>
      <c r="D165" s="11" t="s">
        <v>65</v>
      </c>
      <c r="E165" s="11" t="s">
        <v>220</v>
      </c>
      <c r="F165" s="12">
        <v>71800</v>
      </c>
      <c r="G165" s="12">
        <v>10600</v>
      </c>
      <c r="H165" s="12">
        <v>11600</v>
      </c>
      <c r="I165" s="12"/>
      <c r="J165" s="12">
        <v>94000</v>
      </c>
      <c r="K165" s="16" t="s">
        <v>897</v>
      </c>
      <c r="M165" s="16">
        <v>2000</v>
      </c>
      <c r="N165" s="16">
        <f t="shared" si="2"/>
        <v>96000</v>
      </c>
    </row>
    <row r="166" spans="1:14">
      <c r="A166" s="11" t="s">
        <v>34</v>
      </c>
      <c r="B166" s="11" t="s">
        <v>35</v>
      </c>
      <c r="C166" s="11" t="s">
        <v>27</v>
      </c>
      <c r="D166" s="11" t="s">
        <v>118</v>
      </c>
      <c r="E166" s="11" t="s">
        <v>220</v>
      </c>
      <c r="F166" s="12">
        <v>957</v>
      </c>
      <c r="G166" s="12">
        <v>2000</v>
      </c>
      <c r="H166" s="12"/>
      <c r="I166" s="12"/>
      <c r="J166" s="12">
        <v>2957</v>
      </c>
      <c r="K166" s="16" t="s">
        <v>340</v>
      </c>
      <c r="M166" s="16">
        <v>0</v>
      </c>
      <c r="N166" s="16">
        <f t="shared" si="2"/>
        <v>2957</v>
      </c>
    </row>
    <row r="167" spans="1:14">
      <c r="A167" s="11" t="s">
        <v>36</v>
      </c>
      <c r="B167" s="11" t="s">
        <v>37</v>
      </c>
      <c r="C167" s="11" t="s">
        <v>27</v>
      </c>
      <c r="D167" s="11" t="s">
        <v>136</v>
      </c>
      <c r="E167" s="11" t="s">
        <v>220</v>
      </c>
      <c r="F167" s="12">
        <v>13500</v>
      </c>
      <c r="G167" s="12"/>
      <c r="H167" s="12"/>
      <c r="I167" s="12"/>
      <c r="J167" s="12">
        <v>13500</v>
      </c>
      <c r="K167" s="16" t="s">
        <v>340</v>
      </c>
      <c r="M167" s="16">
        <v>0</v>
      </c>
      <c r="N167" s="16">
        <f t="shared" si="2"/>
        <v>13500</v>
      </c>
    </row>
    <row r="168" spans="1:14">
      <c r="A168" s="11" t="s">
        <v>18</v>
      </c>
      <c r="B168" s="11" t="s">
        <v>19</v>
      </c>
      <c r="C168" s="11" t="s">
        <v>20</v>
      </c>
      <c r="D168" s="11" t="s">
        <v>172</v>
      </c>
      <c r="E168" s="11" t="s">
        <v>220</v>
      </c>
      <c r="F168" s="12">
        <v>1948</v>
      </c>
      <c r="G168" s="12">
        <v>2200</v>
      </c>
      <c r="H168" s="12"/>
      <c r="I168" s="12"/>
      <c r="J168" s="12">
        <v>4148</v>
      </c>
      <c r="K168" s="16" t="s">
        <v>340</v>
      </c>
      <c r="M168" s="16">
        <v>0</v>
      </c>
      <c r="N168" s="16">
        <f t="shared" si="2"/>
        <v>4148</v>
      </c>
    </row>
    <row r="169" spans="1:14">
      <c r="A169" s="11" t="s">
        <v>34</v>
      </c>
      <c r="B169" s="11" t="s">
        <v>35</v>
      </c>
      <c r="C169" s="11" t="s">
        <v>27</v>
      </c>
      <c r="D169" s="11" t="s">
        <v>119</v>
      </c>
      <c r="E169" s="11" t="s">
        <v>220</v>
      </c>
      <c r="F169" s="12">
        <v>4378</v>
      </c>
      <c r="G169" s="12"/>
      <c r="H169" s="12"/>
      <c r="I169" s="12"/>
      <c r="J169" s="12">
        <v>4378</v>
      </c>
      <c r="K169" s="16" t="s">
        <v>340</v>
      </c>
      <c r="M169" s="16">
        <v>0</v>
      </c>
      <c r="N169" s="16">
        <f t="shared" si="2"/>
        <v>4378</v>
      </c>
    </row>
    <row r="170" spans="1:14">
      <c r="A170" s="11" t="s">
        <v>36</v>
      </c>
      <c r="B170" s="11" t="s">
        <v>37</v>
      </c>
      <c r="C170" s="11" t="s">
        <v>27</v>
      </c>
      <c r="D170" s="11" t="s">
        <v>137</v>
      </c>
      <c r="E170" s="11" t="s">
        <v>220</v>
      </c>
      <c r="F170" s="12">
        <v>25300</v>
      </c>
      <c r="G170" s="12">
        <v>10200</v>
      </c>
      <c r="H170" s="12"/>
      <c r="I170" s="12"/>
      <c r="J170" s="12">
        <v>35500</v>
      </c>
      <c r="K170" s="16" t="s">
        <v>340</v>
      </c>
      <c r="M170" s="16">
        <v>0</v>
      </c>
      <c r="N170" s="16">
        <f t="shared" si="2"/>
        <v>35500</v>
      </c>
    </row>
    <row r="171" spans="1:14">
      <c r="A171" s="11" t="s">
        <v>36</v>
      </c>
      <c r="B171" s="11" t="s">
        <v>37</v>
      </c>
      <c r="C171" s="11" t="s">
        <v>27</v>
      </c>
      <c r="D171" s="11" t="s">
        <v>138</v>
      </c>
      <c r="E171" s="11" t="s">
        <v>220</v>
      </c>
      <c r="F171" s="12">
        <v>3900</v>
      </c>
      <c r="G171" s="12">
        <v>9200</v>
      </c>
      <c r="H171" s="12"/>
      <c r="I171" s="12"/>
      <c r="J171" s="12">
        <v>13100</v>
      </c>
      <c r="K171" s="16" t="s">
        <v>340</v>
      </c>
      <c r="M171" s="16">
        <v>0</v>
      </c>
      <c r="N171" s="16">
        <f t="shared" si="2"/>
        <v>13100</v>
      </c>
    </row>
    <row r="172" spans="1:14">
      <c r="A172" s="11" t="s">
        <v>36</v>
      </c>
      <c r="B172" s="11" t="s">
        <v>37</v>
      </c>
      <c r="C172" s="11" t="s">
        <v>27</v>
      </c>
      <c r="D172" s="11" t="s">
        <v>139</v>
      </c>
      <c r="E172" s="11" t="s">
        <v>220</v>
      </c>
      <c r="F172" s="12">
        <v>1100</v>
      </c>
      <c r="G172" s="12">
        <v>1844</v>
      </c>
      <c r="H172" s="12"/>
      <c r="I172" s="12"/>
      <c r="J172" s="12">
        <v>2944</v>
      </c>
      <c r="K172" s="16" t="s">
        <v>340</v>
      </c>
      <c r="M172" s="16">
        <v>0</v>
      </c>
      <c r="N172" s="16">
        <f t="shared" si="2"/>
        <v>2944</v>
      </c>
    </row>
    <row r="173" spans="1:14">
      <c r="A173" s="11" t="s">
        <v>36</v>
      </c>
      <c r="B173" s="11" t="s">
        <v>37</v>
      </c>
      <c r="C173" s="11" t="s">
        <v>27</v>
      </c>
      <c r="D173" s="11" t="s">
        <v>140</v>
      </c>
      <c r="E173" s="11" t="s">
        <v>220</v>
      </c>
      <c r="F173" s="12">
        <v>2100</v>
      </c>
      <c r="G173" s="12">
        <v>1700</v>
      </c>
      <c r="H173" s="12"/>
      <c r="I173" s="12"/>
      <c r="J173" s="12">
        <v>3800</v>
      </c>
      <c r="K173" s="16" t="s">
        <v>340</v>
      </c>
      <c r="M173" s="16">
        <v>0</v>
      </c>
      <c r="N173" s="16">
        <f t="shared" si="2"/>
        <v>3800</v>
      </c>
    </row>
    <row r="174" spans="1:14">
      <c r="A174" s="11" t="s">
        <v>18</v>
      </c>
      <c r="B174" s="11" t="s">
        <v>19</v>
      </c>
      <c r="C174" s="11" t="s">
        <v>20</v>
      </c>
      <c r="D174" s="11" t="s">
        <v>173</v>
      </c>
      <c r="E174" s="11" t="s">
        <v>220</v>
      </c>
      <c r="F174" s="12">
        <v>1100</v>
      </c>
      <c r="G174" s="12"/>
      <c r="H174" s="12"/>
      <c r="I174" s="12"/>
      <c r="J174" s="12">
        <v>1100</v>
      </c>
      <c r="K174" s="16" t="s">
        <v>340</v>
      </c>
      <c r="M174" s="16">
        <v>0</v>
      </c>
      <c r="N174" s="16">
        <f t="shared" si="2"/>
        <v>1100</v>
      </c>
    </row>
    <row r="175" spans="1:14">
      <c r="A175" s="11" t="s">
        <v>25</v>
      </c>
      <c r="B175" s="11" t="s">
        <v>26</v>
      </c>
      <c r="C175" s="11" t="s">
        <v>27</v>
      </c>
      <c r="D175" s="11">
        <v>681074012</v>
      </c>
      <c r="E175" s="11" t="s">
        <v>345</v>
      </c>
      <c r="F175" s="11"/>
      <c r="G175" s="11"/>
      <c r="H175" s="11"/>
      <c r="I175" s="11"/>
      <c r="J175" s="11"/>
      <c r="K175" s="16" t="s">
        <v>340</v>
      </c>
      <c r="M175" s="16">
        <v>0</v>
      </c>
      <c r="N175" s="16">
        <f t="shared" si="2"/>
        <v>0</v>
      </c>
    </row>
    <row r="176" spans="1:14">
      <c r="A176" s="11" t="s">
        <v>25</v>
      </c>
      <c r="B176" s="11" t="s">
        <v>26</v>
      </c>
      <c r="C176" s="11" t="s">
        <v>27</v>
      </c>
      <c r="D176" s="11" t="s">
        <v>731</v>
      </c>
      <c r="E176" s="11" t="s">
        <v>916</v>
      </c>
      <c r="F176" s="11"/>
      <c r="G176" s="11"/>
      <c r="H176" s="11"/>
      <c r="I176" s="11"/>
      <c r="J176" s="11"/>
      <c r="K176" s="16" t="s">
        <v>410</v>
      </c>
      <c r="M176" s="16">
        <v>0</v>
      </c>
      <c r="N176" s="16">
        <f t="shared" si="2"/>
        <v>0</v>
      </c>
    </row>
    <row r="177" spans="1:14">
      <c r="A177" s="11" t="s">
        <v>25</v>
      </c>
      <c r="B177" s="11" t="s">
        <v>26</v>
      </c>
      <c r="C177" s="11" t="s">
        <v>27</v>
      </c>
      <c r="D177" s="11" t="s">
        <v>733</v>
      </c>
      <c r="E177" s="11" t="s">
        <v>240</v>
      </c>
      <c r="F177" s="11"/>
      <c r="G177" s="11"/>
      <c r="H177" s="11"/>
      <c r="I177" s="11"/>
      <c r="J177" s="11"/>
      <c r="K177" s="16" t="s">
        <v>410</v>
      </c>
      <c r="M177" s="16">
        <v>0</v>
      </c>
      <c r="N177" s="16">
        <f t="shared" si="2"/>
        <v>0</v>
      </c>
    </row>
    <row r="178" spans="1:14">
      <c r="A178" s="11" t="s">
        <v>40</v>
      </c>
      <c r="B178" s="11" t="s">
        <v>41</v>
      </c>
      <c r="C178" s="11" t="s">
        <v>27</v>
      </c>
      <c r="D178" s="11" t="s">
        <v>917</v>
      </c>
      <c r="E178" s="11" t="s">
        <v>918</v>
      </c>
      <c r="F178" s="11"/>
      <c r="G178" s="11"/>
      <c r="H178" s="11"/>
      <c r="I178" s="11"/>
      <c r="J178" s="11"/>
      <c r="K178" s="16" t="s">
        <v>897</v>
      </c>
      <c r="M178" s="16">
        <v>0</v>
      </c>
      <c r="N178" s="16">
        <f t="shared" si="2"/>
        <v>0</v>
      </c>
    </row>
    <row r="179" spans="1:14">
      <c r="A179" s="11" t="s">
        <v>25</v>
      </c>
      <c r="B179" s="11" t="s">
        <v>26</v>
      </c>
      <c r="C179" s="11" t="s">
        <v>27</v>
      </c>
      <c r="D179" s="11" t="s">
        <v>734</v>
      </c>
      <c r="E179" s="11" t="s">
        <v>220</v>
      </c>
      <c r="F179" s="11"/>
      <c r="G179" s="11"/>
      <c r="H179" s="11"/>
      <c r="I179" s="11"/>
      <c r="J179" s="11"/>
      <c r="K179" s="16" t="s">
        <v>410</v>
      </c>
      <c r="M179" s="16">
        <v>0</v>
      </c>
      <c r="N179" s="16">
        <f t="shared" si="2"/>
        <v>0</v>
      </c>
    </row>
    <row r="180" spans="1:14">
      <c r="A180" s="11" t="s">
        <v>25</v>
      </c>
      <c r="B180" s="11" t="s">
        <v>26</v>
      </c>
      <c r="C180" s="11" t="s">
        <v>27</v>
      </c>
      <c r="D180" s="11" t="s">
        <v>82</v>
      </c>
      <c r="E180" s="11" t="s">
        <v>240</v>
      </c>
      <c r="F180" s="11"/>
      <c r="G180" s="11"/>
      <c r="H180" s="11"/>
      <c r="I180" s="11"/>
      <c r="J180" s="11"/>
      <c r="K180" s="16" t="s">
        <v>410</v>
      </c>
      <c r="M180" s="16">
        <v>0</v>
      </c>
      <c r="N180" s="16">
        <f t="shared" si="2"/>
        <v>0</v>
      </c>
    </row>
    <row r="181" spans="1:14">
      <c r="A181" s="11" t="s">
        <v>38</v>
      </c>
      <c r="B181" s="11" t="s">
        <v>39</v>
      </c>
      <c r="C181" s="11" t="s">
        <v>27</v>
      </c>
      <c r="D181" s="11" t="s">
        <v>919</v>
      </c>
      <c r="E181" s="11" t="s">
        <v>920</v>
      </c>
      <c r="F181" s="11"/>
      <c r="G181" s="11"/>
      <c r="H181" s="11"/>
      <c r="I181" s="11"/>
      <c r="J181" s="11"/>
      <c r="K181" s="16" t="s">
        <v>897</v>
      </c>
      <c r="M181" s="16">
        <v>0</v>
      </c>
      <c r="N181" s="16">
        <f t="shared" si="2"/>
        <v>0</v>
      </c>
    </row>
    <row r="182" spans="1:14">
      <c r="A182" s="11" t="s">
        <v>38</v>
      </c>
      <c r="B182" s="11" t="s">
        <v>39</v>
      </c>
      <c r="C182" s="11" t="s">
        <v>27</v>
      </c>
      <c r="D182" s="11" t="s">
        <v>921</v>
      </c>
      <c r="E182" s="11" t="s">
        <v>220</v>
      </c>
      <c r="F182" s="11"/>
      <c r="G182" s="11"/>
      <c r="H182" s="11"/>
      <c r="I182" s="11"/>
      <c r="J182" s="11"/>
      <c r="K182" s="16" t="s">
        <v>897</v>
      </c>
      <c r="M182" s="16">
        <v>0</v>
      </c>
      <c r="N182" s="16">
        <f t="shared" si="2"/>
        <v>0</v>
      </c>
    </row>
    <row r="183" spans="1:14">
      <c r="A183" s="11" t="s">
        <v>40</v>
      </c>
      <c r="B183" s="11" t="s">
        <v>41</v>
      </c>
      <c r="C183" s="11" t="s">
        <v>27</v>
      </c>
      <c r="D183" s="11" t="s">
        <v>922</v>
      </c>
      <c r="E183" s="11" t="s">
        <v>923</v>
      </c>
      <c r="F183" s="11"/>
      <c r="G183" s="11"/>
      <c r="H183" s="11"/>
      <c r="I183" s="11"/>
      <c r="J183" s="11"/>
      <c r="K183" s="16" t="s">
        <v>897</v>
      </c>
      <c r="M183" s="16">
        <v>0</v>
      </c>
      <c r="N183" s="16">
        <f t="shared" si="2"/>
        <v>0</v>
      </c>
    </row>
    <row r="184" spans="1:14">
      <c r="A184" s="11" t="s">
        <v>25</v>
      </c>
      <c r="B184" s="11" t="s">
        <v>26</v>
      </c>
      <c r="C184" s="11" t="s">
        <v>27</v>
      </c>
      <c r="D184" s="11" t="s">
        <v>736</v>
      </c>
      <c r="E184" s="11" t="s">
        <v>924</v>
      </c>
      <c r="F184" s="11"/>
      <c r="G184" s="11"/>
      <c r="H184" s="11"/>
      <c r="I184" s="11"/>
      <c r="J184" s="11"/>
      <c r="K184" s="16" t="s">
        <v>410</v>
      </c>
      <c r="M184" s="16">
        <v>2364</v>
      </c>
      <c r="N184" s="16">
        <f t="shared" si="2"/>
        <v>2364</v>
      </c>
    </row>
    <row r="185" spans="1:14">
      <c r="A185" s="11" t="s">
        <v>40</v>
      </c>
      <c r="B185" s="11" t="s">
        <v>41</v>
      </c>
      <c r="C185" s="11" t="s">
        <v>27</v>
      </c>
      <c r="D185" s="11" t="s">
        <v>925</v>
      </c>
      <c r="E185" s="11" t="s">
        <v>926</v>
      </c>
      <c r="F185" s="11"/>
      <c r="G185" s="11"/>
      <c r="H185" s="11"/>
      <c r="I185" s="11"/>
      <c r="J185" s="11"/>
      <c r="K185" s="16" t="s">
        <v>410</v>
      </c>
      <c r="M185" s="16">
        <v>0</v>
      </c>
      <c r="N185" s="16">
        <f t="shared" si="2"/>
        <v>0</v>
      </c>
    </row>
    <row r="186" spans="1:14">
      <c r="A186" s="11" t="s">
        <v>40</v>
      </c>
      <c r="B186" s="11" t="s">
        <v>41</v>
      </c>
      <c r="C186" s="11" t="s">
        <v>27</v>
      </c>
      <c r="D186" s="11" t="s">
        <v>927</v>
      </c>
      <c r="E186" s="11" t="s">
        <v>928</v>
      </c>
      <c r="F186" s="11"/>
      <c r="G186" s="11"/>
      <c r="H186" s="11"/>
      <c r="I186" s="11"/>
      <c r="J186" s="11"/>
      <c r="K186" s="16" t="s">
        <v>410</v>
      </c>
      <c r="M186" s="16">
        <v>0</v>
      </c>
      <c r="N186" s="16">
        <f t="shared" si="2"/>
        <v>0</v>
      </c>
    </row>
    <row r="187" spans="1:14">
      <c r="A187" s="11" t="s">
        <v>40</v>
      </c>
      <c r="B187" s="11" t="s">
        <v>41</v>
      </c>
      <c r="C187" s="11" t="s">
        <v>27</v>
      </c>
      <c r="D187" s="11" t="s">
        <v>929</v>
      </c>
      <c r="E187" s="11" t="s">
        <v>930</v>
      </c>
      <c r="F187" s="11"/>
      <c r="G187" s="11"/>
      <c r="H187" s="11"/>
      <c r="I187" s="11"/>
      <c r="J187" s="11"/>
      <c r="K187" s="16" t="s">
        <v>897</v>
      </c>
      <c r="M187" s="16">
        <v>0</v>
      </c>
      <c r="N187" s="16">
        <f t="shared" si="2"/>
        <v>0</v>
      </c>
    </row>
    <row r="188" spans="1:14">
      <c r="A188" s="11" t="s">
        <v>40</v>
      </c>
      <c r="B188" s="11" t="s">
        <v>41</v>
      </c>
      <c r="C188" s="11" t="s">
        <v>27</v>
      </c>
      <c r="D188" s="11" t="s">
        <v>931</v>
      </c>
      <c r="E188" s="11" t="s">
        <v>932</v>
      </c>
      <c r="F188" s="11"/>
      <c r="G188" s="11"/>
      <c r="H188" s="11"/>
      <c r="I188" s="11"/>
      <c r="J188" s="11"/>
      <c r="K188" s="16" t="s">
        <v>897</v>
      </c>
      <c r="M188" s="16">
        <v>0</v>
      </c>
      <c r="N188" s="16">
        <f t="shared" si="2"/>
        <v>0</v>
      </c>
    </row>
    <row r="189" spans="1:14">
      <c r="A189" s="11" t="s">
        <v>40</v>
      </c>
      <c r="B189" s="11" t="s">
        <v>41</v>
      </c>
      <c r="C189" s="11" t="s">
        <v>27</v>
      </c>
      <c r="D189" s="11" t="s">
        <v>933</v>
      </c>
      <c r="E189" s="11" t="s">
        <v>932</v>
      </c>
      <c r="F189" s="11"/>
      <c r="G189" s="11"/>
      <c r="H189" s="11"/>
      <c r="I189" s="11"/>
      <c r="J189" s="11"/>
      <c r="K189" s="16" t="s">
        <v>897</v>
      </c>
      <c r="M189" s="16">
        <v>0</v>
      </c>
      <c r="N189" s="16">
        <f t="shared" si="2"/>
        <v>0</v>
      </c>
    </row>
    <row r="190" spans="1:14">
      <c r="A190" s="11" t="s">
        <v>32</v>
      </c>
      <c r="B190" s="11" t="s">
        <v>33</v>
      </c>
      <c r="C190" s="11" t="s">
        <v>27</v>
      </c>
      <c r="D190" s="11" t="s">
        <v>934</v>
      </c>
      <c r="E190" s="11" t="s">
        <v>229</v>
      </c>
      <c r="F190" s="11"/>
      <c r="G190" s="11"/>
      <c r="H190" s="11"/>
      <c r="I190" s="11"/>
      <c r="J190" s="11"/>
      <c r="K190" s="16" t="s">
        <v>340</v>
      </c>
      <c r="M190" s="16">
        <v>0</v>
      </c>
      <c r="N190" s="16">
        <f t="shared" si="2"/>
        <v>0</v>
      </c>
    </row>
    <row r="191" spans="1:14">
      <c r="A191" s="11" t="s">
        <v>40</v>
      </c>
      <c r="B191" s="11" t="s">
        <v>41</v>
      </c>
      <c r="C191" s="11" t="s">
        <v>27</v>
      </c>
      <c r="D191" s="11" t="s">
        <v>935</v>
      </c>
      <c r="E191" s="11" t="s">
        <v>936</v>
      </c>
      <c r="F191" s="11"/>
      <c r="G191" s="11"/>
      <c r="H191" s="11"/>
      <c r="I191" s="11"/>
      <c r="J191" s="11"/>
      <c r="K191" s="16" t="s">
        <v>340</v>
      </c>
      <c r="M191" s="16">
        <v>0</v>
      </c>
      <c r="N191" s="16">
        <f t="shared" si="2"/>
        <v>0</v>
      </c>
    </row>
    <row r="192" spans="1:14">
      <c r="A192" s="11" t="s">
        <v>34</v>
      </c>
      <c r="B192" s="11" t="s">
        <v>35</v>
      </c>
      <c r="C192" s="11" t="s">
        <v>27</v>
      </c>
      <c r="D192" s="11" t="s">
        <v>937</v>
      </c>
      <c r="E192" s="11" t="s">
        <v>229</v>
      </c>
      <c r="F192" s="11"/>
      <c r="G192" s="11"/>
      <c r="H192" s="11"/>
      <c r="I192" s="11"/>
      <c r="J192" s="11"/>
      <c r="K192" s="16" t="s">
        <v>340</v>
      </c>
      <c r="M192" s="16">
        <v>0</v>
      </c>
      <c r="N192" s="16">
        <f t="shared" si="2"/>
        <v>0</v>
      </c>
    </row>
    <row r="193" spans="1:14">
      <c r="A193" s="11" t="s">
        <v>36</v>
      </c>
      <c r="B193" s="11" t="s">
        <v>37</v>
      </c>
      <c r="C193" s="11" t="s">
        <v>27</v>
      </c>
      <c r="D193" s="11" t="s">
        <v>705</v>
      </c>
      <c r="E193" s="11" t="s">
        <v>228</v>
      </c>
      <c r="F193" s="11"/>
      <c r="G193" s="11"/>
      <c r="H193" s="11"/>
      <c r="I193" s="11"/>
      <c r="J193" s="11"/>
      <c r="K193" s="16" t="s">
        <v>340</v>
      </c>
      <c r="M193" s="16">
        <v>0</v>
      </c>
      <c r="N193" s="16">
        <f t="shared" si="2"/>
        <v>0</v>
      </c>
    </row>
    <row r="194" spans="1:14">
      <c r="A194" s="11" t="s">
        <v>34</v>
      </c>
      <c r="B194" s="11" t="s">
        <v>35</v>
      </c>
      <c r="C194" s="11" t="s">
        <v>27</v>
      </c>
      <c r="D194" s="11" t="s">
        <v>938</v>
      </c>
      <c r="E194" s="11" t="s">
        <v>228</v>
      </c>
      <c r="F194" s="11"/>
      <c r="G194" s="11"/>
      <c r="H194" s="11"/>
      <c r="I194" s="11"/>
      <c r="J194" s="11"/>
      <c r="K194" s="16" t="s">
        <v>340</v>
      </c>
      <c r="M194" s="16">
        <v>0</v>
      </c>
      <c r="N194" s="16">
        <f t="shared" si="2"/>
        <v>0</v>
      </c>
    </row>
    <row r="195" spans="1:14">
      <c r="A195" s="11" t="s">
        <v>18</v>
      </c>
      <c r="B195" s="11" t="s">
        <v>19</v>
      </c>
      <c r="C195" s="11" t="s">
        <v>20</v>
      </c>
      <c r="D195" s="11" t="s">
        <v>635</v>
      </c>
      <c r="E195" s="11" t="s">
        <v>220</v>
      </c>
      <c r="F195" s="11"/>
      <c r="G195" s="11"/>
      <c r="H195" s="11"/>
      <c r="I195" s="11"/>
      <c r="J195" s="11"/>
      <c r="K195" s="16" t="s">
        <v>340</v>
      </c>
      <c r="M195" s="16">
        <v>0</v>
      </c>
      <c r="N195" s="16">
        <f t="shared" si="2"/>
        <v>0</v>
      </c>
    </row>
    <row r="196" spans="1:14">
      <c r="A196" s="11" t="s">
        <v>25</v>
      </c>
      <c r="B196" s="11" t="s">
        <v>26</v>
      </c>
      <c r="C196" s="11" t="s">
        <v>27</v>
      </c>
      <c r="D196" s="11" t="s">
        <v>939</v>
      </c>
      <c r="E196" s="11" t="s">
        <v>228</v>
      </c>
      <c r="F196" s="11"/>
      <c r="G196" s="11"/>
      <c r="H196" s="11"/>
      <c r="I196" s="11"/>
      <c r="J196" s="11"/>
      <c r="K196" s="16" t="s">
        <v>340</v>
      </c>
      <c r="M196" s="16">
        <v>0</v>
      </c>
      <c r="N196" s="16">
        <f t="shared" si="2"/>
        <v>0</v>
      </c>
    </row>
    <row r="197" spans="1:14">
      <c r="A197" s="11" t="s">
        <v>40</v>
      </c>
      <c r="B197" s="11" t="s">
        <v>41</v>
      </c>
      <c r="C197" s="11" t="s">
        <v>27</v>
      </c>
      <c r="D197" s="11" t="s">
        <v>940</v>
      </c>
      <c r="E197" s="11" t="s">
        <v>941</v>
      </c>
      <c r="F197" s="11"/>
      <c r="G197" s="11"/>
      <c r="H197" s="11"/>
      <c r="I197" s="11"/>
      <c r="J197" s="11"/>
      <c r="K197" s="16" t="s">
        <v>897</v>
      </c>
      <c r="M197" s="16">
        <v>0</v>
      </c>
      <c r="N197" s="16">
        <f t="shared" ref="N197:N238" si="3">J197+M197</f>
        <v>0</v>
      </c>
    </row>
    <row r="198" spans="1:14">
      <c r="A198" s="11" t="s">
        <v>36</v>
      </c>
      <c r="B198" s="11" t="s">
        <v>37</v>
      </c>
      <c r="C198" s="11" t="s">
        <v>27</v>
      </c>
      <c r="D198" s="11" t="s">
        <v>706</v>
      </c>
      <c r="E198" s="11" t="s">
        <v>228</v>
      </c>
      <c r="F198" s="11"/>
      <c r="G198" s="11"/>
      <c r="H198" s="11"/>
      <c r="I198" s="11"/>
      <c r="J198" s="11"/>
      <c r="K198" s="16" t="s">
        <v>340</v>
      </c>
      <c r="M198" s="16">
        <v>0</v>
      </c>
      <c r="N198" s="16">
        <f t="shared" si="3"/>
        <v>0</v>
      </c>
    </row>
    <row r="199" spans="1:14">
      <c r="A199" s="11" t="s">
        <v>28</v>
      </c>
      <c r="B199" s="11" t="s">
        <v>29</v>
      </c>
      <c r="C199" s="11" t="s">
        <v>20</v>
      </c>
      <c r="D199" s="11" t="s">
        <v>942</v>
      </c>
      <c r="E199" s="11" t="s">
        <v>229</v>
      </c>
      <c r="F199" s="11"/>
      <c r="G199" s="11"/>
      <c r="H199" s="11"/>
      <c r="I199" s="11"/>
      <c r="J199" s="11"/>
      <c r="K199" s="16" t="s">
        <v>897</v>
      </c>
      <c r="M199" s="16">
        <v>0</v>
      </c>
      <c r="N199" s="16">
        <f t="shared" si="3"/>
        <v>0</v>
      </c>
    </row>
    <row r="200" spans="1:14">
      <c r="A200" s="11" t="s">
        <v>34</v>
      </c>
      <c r="B200" s="11" t="s">
        <v>35</v>
      </c>
      <c r="C200" s="11" t="s">
        <v>27</v>
      </c>
      <c r="D200" s="11" t="s">
        <v>943</v>
      </c>
      <c r="E200" s="11" t="s">
        <v>229</v>
      </c>
      <c r="F200" s="11"/>
      <c r="G200" s="11"/>
      <c r="H200" s="11"/>
      <c r="I200" s="11"/>
      <c r="J200" s="11"/>
      <c r="K200" s="16" t="s">
        <v>340</v>
      </c>
      <c r="M200" s="16">
        <v>0</v>
      </c>
      <c r="N200" s="16">
        <f t="shared" si="3"/>
        <v>0</v>
      </c>
    </row>
    <row r="201" spans="1:14">
      <c r="A201" s="11" t="s">
        <v>40</v>
      </c>
      <c r="B201" s="11" t="s">
        <v>41</v>
      </c>
      <c r="C201" s="11" t="s">
        <v>27</v>
      </c>
      <c r="D201" s="11" t="s">
        <v>944</v>
      </c>
      <c r="E201" s="11" t="s">
        <v>283</v>
      </c>
      <c r="F201" s="11"/>
      <c r="G201" s="11"/>
      <c r="H201" s="11"/>
      <c r="I201" s="11"/>
      <c r="J201" s="11"/>
      <c r="K201" s="16" t="s">
        <v>897</v>
      </c>
      <c r="M201" s="16">
        <v>0</v>
      </c>
      <c r="N201" s="16">
        <f t="shared" si="3"/>
        <v>0</v>
      </c>
    </row>
    <row r="202" spans="1:14">
      <c r="A202" s="11" t="s">
        <v>36</v>
      </c>
      <c r="B202" s="11" t="s">
        <v>37</v>
      </c>
      <c r="C202" s="11" t="s">
        <v>27</v>
      </c>
      <c r="D202" s="11" t="s">
        <v>354</v>
      </c>
      <c r="E202" s="11" t="s">
        <v>229</v>
      </c>
      <c r="F202" s="11"/>
      <c r="G202" s="11"/>
      <c r="H202" s="11"/>
      <c r="I202" s="11"/>
      <c r="J202" s="11"/>
      <c r="K202" s="16" t="s">
        <v>340</v>
      </c>
      <c r="M202" s="16">
        <v>0</v>
      </c>
      <c r="N202" s="16">
        <f t="shared" si="3"/>
        <v>0</v>
      </c>
    </row>
    <row r="203" spans="1:14">
      <c r="A203" s="11" t="s">
        <v>18</v>
      </c>
      <c r="B203" s="11" t="s">
        <v>19</v>
      </c>
      <c r="C203" s="11" t="s">
        <v>20</v>
      </c>
      <c r="D203" s="11" t="s">
        <v>634</v>
      </c>
      <c r="E203" s="11" t="s">
        <v>220</v>
      </c>
      <c r="F203" s="11"/>
      <c r="G203" s="11"/>
      <c r="H203" s="11"/>
      <c r="I203" s="11"/>
      <c r="J203" s="11"/>
      <c r="K203" s="16" t="s">
        <v>340</v>
      </c>
      <c r="M203" s="16">
        <v>0</v>
      </c>
      <c r="N203" s="16">
        <f t="shared" si="3"/>
        <v>0</v>
      </c>
    </row>
    <row r="204" spans="1:14">
      <c r="A204" s="11" t="s">
        <v>36</v>
      </c>
      <c r="B204" s="11" t="s">
        <v>37</v>
      </c>
      <c r="C204" s="11" t="s">
        <v>27</v>
      </c>
      <c r="D204" s="11" t="s">
        <v>709</v>
      </c>
      <c r="E204" s="11" t="s">
        <v>229</v>
      </c>
      <c r="F204" s="11"/>
      <c r="G204" s="11"/>
      <c r="H204" s="11"/>
      <c r="I204" s="11"/>
      <c r="J204" s="11"/>
      <c r="K204" s="16" t="s">
        <v>340</v>
      </c>
      <c r="M204" s="16">
        <v>0</v>
      </c>
      <c r="N204" s="16">
        <f t="shared" si="3"/>
        <v>0</v>
      </c>
    </row>
    <row r="205" spans="1:14">
      <c r="A205" s="11" t="s">
        <v>36</v>
      </c>
      <c r="B205" s="11" t="s">
        <v>37</v>
      </c>
      <c r="C205" s="11" t="s">
        <v>27</v>
      </c>
      <c r="D205" s="11" t="s">
        <v>710</v>
      </c>
      <c r="E205" s="11" t="s">
        <v>229</v>
      </c>
      <c r="F205" s="11"/>
      <c r="G205" s="11"/>
      <c r="H205" s="11"/>
      <c r="I205" s="11"/>
      <c r="J205" s="11"/>
      <c r="K205" s="16" t="s">
        <v>340</v>
      </c>
      <c r="M205" s="16">
        <v>0</v>
      </c>
      <c r="N205" s="16">
        <f t="shared" si="3"/>
        <v>0</v>
      </c>
    </row>
    <row r="206" spans="1:14">
      <c r="A206" s="11" t="s">
        <v>42</v>
      </c>
      <c r="B206" s="11" t="s">
        <v>298</v>
      </c>
      <c r="C206" s="11"/>
      <c r="D206" s="11" t="s">
        <v>945</v>
      </c>
      <c r="E206" s="11" t="s">
        <v>240</v>
      </c>
      <c r="F206" s="11"/>
      <c r="G206" s="11"/>
      <c r="H206" s="11"/>
      <c r="I206" s="11"/>
      <c r="J206" s="11"/>
      <c r="K206" s="16" t="s">
        <v>897</v>
      </c>
      <c r="M206" s="16">
        <v>0</v>
      </c>
      <c r="N206" s="16">
        <f t="shared" si="3"/>
        <v>0</v>
      </c>
    </row>
    <row r="207" spans="1:14">
      <c r="A207" s="11" t="s">
        <v>40</v>
      </c>
      <c r="B207" s="11" t="s">
        <v>41</v>
      </c>
      <c r="C207" s="11" t="s">
        <v>27</v>
      </c>
      <c r="D207" s="11" t="s">
        <v>946</v>
      </c>
      <c r="E207" s="11" t="s">
        <v>229</v>
      </c>
      <c r="F207" s="11"/>
      <c r="G207" s="11"/>
      <c r="H207" s="11"/>
      <c r="I207" s="11"/>
      <c r="J207" s="11"/>
      <c r="K207" s="16" t="s">
        <v>897</v>
      </c>
      <c r="M207" s="16">
        <v>0</v>
      </c>
      <c r="N207" s="16">
        <f t="shared" si="3"/>
        <v>0</v>
      </c>
    </row>
    <row r="208" spans="1:14">
      <c r="A208" s="11" t="s">
        <v>40</v>
      </c>
      <c r="B208" s="11" t="s">
        <v>41</v>
      </c>
      <c r="C208" s="11" t="s">
        <v>27</v>
      </c>
      <c r="D208" s="11" t="s">
        <v>947</v>
      </c>
      <c r="E208" s="11" t="s">
        <v>229</v>
      </c>
      <c r="F208" s="11"/>
      <c r="G208" s="11"/>
      <c r="H208" s="11"/>
      <c r="I208" s="11"/>
      <c r="J208" s="11"/>
      <c r="K208" s="16" t="s">
        <v>897</v>
      </c>
      <c r="M208" s="16">
        <v>0</v>
      </c>
      <c r="N208" s="16">
        <f t="shared" si="3"/>
        <v>0</v>
      </c>
    </row>
    <row r="209" spans="1:14">
      <c r="A209" s="11" t="s">
        <v>38</v>
      </c>
      <c r="B209" s="11" t="s">
        <v>39</v>
      </c>
      <c r="C209" s="11" t="s">
        <v>27</v>
      </c>
      <c r="D209" s="11" t="s">
        <v>948</v>
      </c>
      <c r="E209" s="11" t="s">
        <v>220</v>
      </c>
      <c r="F209" s="11"/>
      <c r="G209" s="11"/>
      <c r="H209" s="11"/>
      <c r="I209" s="11"/>
      <c r="J209" s="11"/>
      <c r="K209" s="16" t="s">
        <v>897</v>
      </c>
      <c r="M209" s="16">
        <v>0</v>
      </c>
      <c r="N209" s="16">
        <f t="shared" si="3"/>
        <v>0</v>
      </c>
    </row>
    <row r="210" spans="1:14">
      <c r="A210" s="11" t="s">
        <v>34</v>
      </c>
      <c r="B210" s="11" t="s">
        <v>35</v>
      </c>
      <c r="C210" s="11" t="s">
        <v>27</v>
      </c>
      <c r="D210" s="11" t="s">
        <v>949</v>
      </c>
      <c r="E210" s="11" t="s">
        <v>229</v>
      </c>
      <c r="F210" s="11"/>
      <c r="G210" s="11"/>
      <c r="H210" s="11"/>
      <c r="I210" s="11"/>
      <c r="J210" s="11"/>
      <c r="K210" s="16" t="s">
        <v>340</v>
      </c>
      <c r="M210" s="16">
        <v>0</v>
      </c>
      <c r="N210" s="16">
        <f t="shared" si="3"/>
        <v>0</v>
      </c>
    </row>
    <row r="211" spans="1:14">
      <c r="A211" s="11" t="s">
        <v>25</v>
      </c>
      <c r="B211" s="11" t="s">
        <v>26</v>
      </c>
      <c r="C211" s="11" t="s">
        <v>27</v>
      </c>
      <c r="D211" s="11" t="s">
        <v>950</v>
      </c>
      <c r="E211" s="11" t="s">
        <v>220</v>
      </c>
      <c r="F211" s="11"/>
      <c r="G211" s="11"/>
      <c r="H211" s="11"/>
      <c r="I211" s="11"/>
      <c r="J211" s="11"/>
      <c r="K211" s="16" t="s">
        <v>340</v>
      </c>
      <c r="M211" s="16">
        <v>0</v>
      </c>
      <c r="N211" s="16">
        <f t="shared" si="3"/>
        <v>0</v>
      </c>
    </row>
    <row r="212" spans="1:14">
      <c r="A212" s="11" t="s">
        <v>36</v>
      </c>
      <c r="B212" s="11" t="s">
        <v>37</v>
      </c>
      <c r="C212" s="11" t="s">
        <v>27</v>
      </c>
      <c r="D212" s="11" t="s">
        <v>712</v>
      </c>
      <c r="E212" s="11" t="s">
        <v>229</v>
      </c>
      <c r="F212" s="11"/>
      <c r="G212" s="11"/>
      <c r="H212" s="11"/>
      <c r="I212" s="11"/>
      <c r="J212" s="11"/>
      <c r="K212" s="16" t="s">
        <v>340</v>
      </c>
      <c r="M212" s="16">
        <v>0</v>
      </c>
      <c r="N212" s="16">
        <f t="shared" si="3"/>
        <v>0</v>
      </c>
    </row>
    <row r="213" spans="1:14">
      <c r="A213" s="11" t="s">
        <v>36</v>
      </c>
      <c r="B213" s="11" t="s">
        <v>37</v>
      </c>
      <c r="C213" s="11" t="s">
        <v>27</v>
      </c>
      <c r="D213" s="11" t="s">
        <v>355</v>
      </c>
      <c r="E213" s="11" t="s">
        <v>220</v>
      </c>
      <c r="F213" s="11"/>
      <c r="G213" s="11"/>
      <c r="H213" s="11"/>
      <c r="I213" s="11"/>
      <c r="J213" s="11"/>
      <c r="K213" s="16" t="s">
        <v>340</v>
      </c>
      <c r="M213" s="16">
        <v>0</v>
      </c>
      <c r="N213" s="16">
        <f t="shared" si="3"/>
        <v>0</v>
      </c>
    </row>
    <row r="214" spans="1:14">
      <c r="A214" s="11" t="s">
        <v>36</v>
      </c>
      <c r="B214" s="11" t="s">
        <v>37</v>
      </c>
      <c r="C214" s="11" t="s">
        <v>27</v>
      </c>
      <c r="D214" s="11" t="s">
        <v>713</v>
      </c>
      <c r="E214" s="11" t="s">
        <v>220</v>
      </c>
      <c r="F214" s="11"/>
      <c r="G214" s="11"/>
      <c r="H214" s="11"/>
      <c r="I214" s="11"/>
      <c r="J214" s="11"/>
      <c r="K214" s="16" t="s">
        <v>340</v>
      </c>
      <c r="M214" s="16">
        <v>0</v>
      </c>
      <c r="N214" s="16">
        <f t="shared" si="3"/>
        <v>0</v>
      </c>
    </row>
    <row r="215" spans="1:14">
      <c r="A215" s="11" t="s">
        <v>36</v>
      </c>
      <c r="B215" s="11" t="s">
        <v>37</v>
      </c>
      <c r="C215" s="11" t="s">
        <v>27</v>
      </c>
      <c r="D215" s="11" t="s">
        <v>714</v>
      </c>
      <c r="E215" s="11" t="s">
        <v>220</v>
      </c>
      <c r="F215" s="11"/>
      <c r="G215" s="11"/>
      <c r="H215" s="11"/>
      <c r="I215" s="11"/>
      <c r="J215" s="11"/>
      <c r="K215" s="16" t="s">
        <v>340</v>
      </c>
      <c r="M215" s="16">
        <v>0</v>
      </c>
      <c r="N215" s="16">
        <f t="shared" si="3"/>
        <v>0</v>
      </c>
    </row>
    <row r="216" spans="1:14">
      <c r="A216" s="11" t="s">
        <v>36</v>
      </c>
      <c r="B216" s="11" t="s">
        <v>37</v>
      </c>
      <c r="C216" s="11" t="s">
        <v>27</v>
      </c>
      <c r="D216" s="11" t="s">
        <v>715</v>
      </c>
      <c r="E216" s="11" t="s">
        <v>220</v>
      </c>
      <c r="F216" s="11"/>
      <c r="G216" s="11"/>
      <c r="H216" s="11"/>
      <c r="I216" s="11"/>
      <c r="J216" s="11"/>
      <c r="K216" s="16" t="s">
        <v>340</v>
      </c>
      <c r="M216" s="16">
        <v>0</v>
      </c>
      <c r="N216" s="16">
        <f t="shared" si="3"/>
        <v>0</v>
      </c>
    </row>
    <row r="217" spans="1:14">
      <c r="A217" s="11" t="s">
        <v>36</v>
      </c>
      <c r="B217" s="11" t="s">
        <v>37</v>
      </c>
      <c r="C217" s="11" t="s">
        <v>27</v>
      </c>
      <c r="D217" s="11" t="s">
        <v>716</v>
      </c>
      <c r="E217" s="11" t="s">
        <v>220</v>
      </c>
      <c r="F217" s="11"/>
      <c r="G217" s="11"/>
      <c r="H217" s="11"/>
      <c r="I217" s="11"/>
      <c r="J217" s="11"/>
      <c r="K217" s="16" t="s">
        <v>340</v>
      </c>
      <c r="M217" s="16">
        <v>0</v>
      </c>
      <c r="N217" s="16">
        <f t="shared" si="3"/>
        <v>0</v>
      </c>
    </row>
    <row r="218" spans="1:14">
      <c r="A218" s="11" t="s">
        <v>40</v>
      </c>
      <c r="B218" s="11" t="s">
        <v>41</v>
      </c>
      <c r="C218" s="11" t="s">
        <v>27</v>
      </c>
      <c r="D218" s="11" t="s">
        <v>951</v>
      </c>
      <c r="E218" s="11" t="s">
        <v>220</v>
      </c>
      <c r="F218" s="11"/>
      <c r="G218" s="11"/>
      <c r="H218" s="11"/>
      <c r="I218" s="11"/>
      <c r="J218" s="11"/>
      <c r="K218" s="16" t="s">
        <v>897</v>
      </c>
      <c r="M218" s="16">
        <v>0</v>
      </c>
      <c r="N218" s="16">
        <f t="shared" si="3"/>
        <v>0</v>
      </c>
    </row>
    <row r="219" spans="1:14">
      <c r="A219" s="11" t="s">
        <v>38</v>
      </c>
      <c r="B219" s="11" t="s">
        <v>39</v>
      </c>
      <c r="C219" s="11" t="s">
        <v>27</v>
      </c>
      <c r="D219" s="11" t="s">
        <v>952</v>
      </c>
      <c r="E219" s="11" t="s">
        <v>220</v>
      </c>
      <c r="F219" s="11"/>
      <c r="G219" s="11"/>
      <c r="H219" s="11"/>
      <c r="I219" s="11"/>
      <c r="J219" s="11"/>
      <c r="K219" s="16" t="s">
        <v>897</v>
      </c>
      <c r="M219" s="16">
        <v>0</v>
      </c>
      <c r="N219" s="16">
        <f t="shared" si="3"/>
        <v>0</v>
      </c>
    </row>
    <row r="220" spans="1:14">
      <c r="A220" s="11" t="s">
        <v>25</v>
      </c>
      <c r="B220" s="11" t="s">
        <v>26</v>
      </c>
      <c r="C220" s="11" t="s">
        <v>27</v>
      </c>
      <c r="D220" s="11" t="s">
        <v>751</v>
      </c>
      <c r="E220" s="11" t="s">
        <v>220</v>
      </c>
      <c r="F220" s="11"/>
      <c r="G220" s="11"/>
      <c r="H220" s="11"/>
      <c r="I220" s="11"/>
      <c r="J220" s="11"/>
      <c r="K220" s="16" t="s">
        <v>340</v>
      </c>
      <c r="M220" s="16">
        <v>0</v>
      </c>
      <c r="N220" s="16">
        <f t="shared" si="3"/>
        <v>0</v>
      </c>
    </row>
    <row r="221" spans="1:14">
      <c r="A221" s="11" t="s">
        <v>34</v>
      </c>
      <c r="B221" s="11" t="s">
        <v>35</v>
      </c>
      <c r="C221" s="11" t="s">
        <v>27</v>
      </c>
      <c r="D221" s="11" t="s">
        <v>953</v>
      </c>
      <c r="E221" s="11" t="s">
        <v>220</v>
      </c>
      <c r="F221" s="11"/>
      <c r="G221" s="11"/>
      <c r="H221" s="11"/>
      <c r="I221" s="11"/>
      <c r="J221" s="11"/>
      <c r="K221" s="16" t="s">
        <v>340</v>
      </c>
      <c r="M221" s="16">
        <v>0</v>
      </c>
      <c r="N221" s="16">
        <f t="shared" si="3"/>
        <v>0</v>
      </c>
    </row>
    <row r="222" spans="1:14">
      <c r="A222" s="11" t="s">
        <v>34</v>
      </c>
      <c r="B222" s="11" t="s">
        <v>35</v>
      </c>
      <c r="C222" s="11" t="s">
        <v>27</v>
      </c>
      <c r="D222" s="11" t="s">
        <v>954</v>
      </c>
      <c r="E222" s="11" t="s">
        <v>220</v>
      </c>
      <c r="F222" s="11"/>
      <c r="G222" s="11"/>
      <c r="H222" s="11"/>
      <c r="I222" s="11"/>
      <c r="J222" s="11"/>
      <c r="K222" s="16" t="s">
        <v>340</v>
      </c>
      <c r="M222" s="16">
        <v>0</v>
      </c>
      <c r="N222" s="16">
        <f t="shared" si="3"/>
        <v>0</v>
      </c>
    </row>
    <row r="223" spans="1:14">
      <c r="A223" s="11" t="s">
        <v>40</v>
      </c>
      <c r="B223" s="11" t="s">
        <v>41</v>
      </c>
      <c r="C223" s="11" t="s">
        <v>27</v>
      </c>
      <c r="D223" s="11" t="s">
        <v>955</v>
      </c>
      <c r="E223" s="11" t="s">
        <v>220</v>
      </c>
      <c r="F223" s="11"/>
      <c r="G223" s="11"/>
      <c r="H223" s="11"/>
      <c r="I223" s="11"/>
      <c r="J223" s="11"/>
      <c r="K223" s="16" t="s">
        <v>897</v>
      </c>
      <c r="M223" s="16">
        <v>0</v>
      </c>
      <c r="N223" s="16">
        <f t="shared" si="3"/>
        <v>0</v>
      </c>
    </row>
    <row r="224" spans="1:14">
      <c r="A224" s="11" t="s">
        <v>38</v>
      </c>
      <c r="B224" s="11" t="s">
        <v>39</v>
      </c>
      <c r="C224" s="11" t="s">
        <v>27</v>
      </c>
      <c r="D224" s="11" t="s">
        <v>956</v>
      </c>
      <c r="E224" s="11" t="s">
        <v>220</v>
      </c>
      <c r="F224" s="11"/>
      <c r="G224" s="11"/>
      <c r="H224" s="11"/>
      <c r="I224" s="11"/>
      <c r="J224" s="11"/>
      <c r="K224" s="16" t="s">
        <v>897</v>
      </c>
      <c r="M224" s="16">
        <v>0</v>
      </c>
      <c r="N224" s="16">
        <f t="shared" si="3"/>
        <v>0</v>
      </c>
    </row>
    <row r="225" spans="1:14">
      <c r="A225" s="11" t="s">
        <v>36</v>
      </c>
      <c r="B225" s="11" t="s">
        <v>37</v>
      </c>
      <c r="C225" s="11" t="s">
        <v>27</v>
      </c>
      <c r="D225" s="11" t="s">
        <v>717</v>
      </c>
      <c r="E225" s="11" t="s">
        <v>220</v>
      </c>
      <c r="F225" s="11"/>
      <c r="G225" s="11"/>
      <c r="H225" s="11"/>
      <c r="I225" s="11"/>
      <c r="J225" s="11"/>
      <c r="K225" s="16" t="s">
        <v>340</v>
      </c>
      <c r="M225" s="16">
        <v>0</v>
      </c>
      <c r="N225" s="16">
        <f t="shared" si="3"/>
        <v>0</v>
      </c>
    </row>
    <row r="226" spans="1:14">
      <c r="A226" s="11" t="s">
        <v>36</v>
      </c>
      <c r="B226" s="11" t="s">
        <v>37</v>
      </c>
      <c r="C226" s="11" t="s">
        <v>27</v>
      </c>
      <c r="D226" s="11" t="s">
        <v>718</v>
      </c>
      <c r="E226" s="11" t="s">
        <v>220</v>
      </c>
      <c r="F226" s="11"/>
      <c r="G226" s="11"/>
      <c r="H226" s="11"/>
      <c r="I226" s="11"/>
      <c r="J226" s="11"/>
      <c r="K226" s="16" t="s">
        <v>340</v>
      </c>
      <c r="M226" s="16">
        <v>0</v>
      </c>
      <c r="N226" s="16">
        <f t="shared" si="3"/>
        <v>0</v>
      </c>
    </row>
    <row r="227" spans="1:14">
      <c r="A227" s="11" t="s">
        <v>34</v>
      </c>
      <c r="B227" s="11" t="s">
        <v>35</v>
      </c>
      <c r="C227" s="11" t="s">
        <v>27</v>
      </c>
      <c r="D227" s="11" t="s">
        <v>957</v>
      </c>
      <c r="E227" s="11" t="s">
        <v>220</v>
      </c>
      <c r="F227" s="11"/>
      <c r="G227" s="11"/>
      <c r="H227" s="11"/>
      <c r="I227" s="11"/>
      <c r="J227" s="11"/>
      <c r="K227" s="16" t="s">
        <v>340</v>
      </c>
      <c r="M227" s="16">
        <v>0</v>
      </c>
      <c r="N227" s="16">
        <f t="shared" si="3"/>
        <v>0</v>
      </c>
    </row>
    <row r="228" spans="1:14">
      <c r="A228" s="11" t="s">
        <v>36</v>
      </c>
      <c r="B228" s="11" t="s">
        <v>37</v>
      </c>
      <c r="C228" s="11" t="s">
        <v>27</v>
      </c>
      <c r="D228" s="11" t="s">
        <v>719</v>
      </c>
      <c r="E228" s="11" t="s">
        <v>220</v>
      </c>
      <c r="F228" s="11"/>
      <c r="G228" s="11"/>
      <c r="H228" s="11"/>
      <c r="I228" s="11"/>
      <c r="J228" s="11"/>
      <c r="K228" s="16" t="s">
        <v>340</v>
      </c>
      <c r="M228" s="16">
        <v>0</v>
      </c>
      <c r="N228" s="16">
        <f t="shared" si="3"/>
        <v>0</v>
      </c>
    </row>
    <row r="229" spans="1:14">
      <c r="A229" s="11" t="s">
        <v>36</v>
      </c>
      <c r="B229" s="11" t="s">
        <v>37</v>
      </c>
      <c r="C229" s="11" t="s">
        <v>27</v>
      </c>
      <c r="D229" s="11" t="s">
        <v>720</v>
      </c>
      <c r="E229" s="11" t="s">
        <v>220</v>
      </c>
      <c r="F229" s="11"/>
      <c r="G229" s="11"/>
      <c r="H229" s="11"/>
      <c r="I229" s="11"/>
      <c r="J229" s="11"/>
      <c r="K229" s="16" t="s">
        <v>340</v>
      </c>
      <c r="M229" s="16">
        <v>0</v>
      </c>
      <c r="N229" s="16">
        <f t="shared" si="3"/>
        <v>0</v>
      </c>
    </row>
    <row r="230" spans="1:14">
      <c r="A230" s="11" t="s">
        <v>34</v>
      </c>
      <c r="B230" s="11" t="s">
        <v>35</v>
      </c>
      <c r="C230" s="11" t="s">
        <v>27</v>
      </c>
      <c r="D230" s="11" t="s">
        <v>958</v>
      </c>
      <c r="E230" s="11" t="s">
        <v>220</v>
      </c>
      <c r="F230" s="11"/>
      <c r="G230" s="11"/>
      <c r="H230" s="11"/>
      <c r="I230" s="11"/>
      <c r="J230" s="11"/>
      <c r="K230" s="16" t="s">
        <v>340</v>
      </c>
      <c r="M230" s="16">
        <v>0</v>
      </c>
      <c r="N230" s="16">
        <f t="shared" si="3"/>
        <v>0</v>
      </c>
    </row>
    <row r="231" spans="1:14">
      <c r="A231" s="11" t="s">
        <v>38</v>
      </c>
      <c r="B231" s="11" t="s">
        <v>39</v>
      </c>
      <c r="C231" s="11" t="s">
        <v>27</v>
      </c>
      <c r="D231" s="11" t="s">
        <v>959</v>
      </c>
      <c r="E231" s="11" t="s">
        <v>220</v>
      </c>
      <c r="F231" s="11"/>
      <c r="G231" s="11"/>
      <c r="H231" s="11"/>
      <c r="I231" s="11"/>
      <c r="J231" s="11"/>
      <c r="K231" s="16" t="s">
        <v>897</v>
      </c>
      <c r="M231" s="16">
        <v>0</v>
      </c>
      <c r="N231" s="16">
        <f t="shared" si="3"/>
        <v>0</v>
      </c>
    </row>
    <row r="232" spans="1:14">
      <c r="A232" s="11" t="s">
        <v>40</v>
      </c>
      <c r="B232" s="11" t="s">
        <v>41</v>
      </c>
      <c r="C232" s="11" t="s">
        <v>27</v>
      </c>
      <c r="D232" s="11" t="s">
        <v>960</v>
      </c>
      <c r="E232" s="11" t="s">
        <v>229</v>
      </c>
      <c r="F232" s="11"/>
      <c r="G232" s="11"/>
      <c r="H232" s="11"/>
      <c r="I232" s="11"/>
      <c r="J232" s="11"/>
      <c r="K232" s="16" t="s">
        <v>897</v>
      </c>
      <c r="M232" s="16">
        <v>0</v>
      </c>
      <c r="N232" s="16">
        <f t="shared" si="3"/>
        <v>0</v>
      </c>
    </row>
    <row r="233" spans="1:14">
      <c r="A233" s="11" t="s">
        <v>42</v>
      </c>
      <c r="B233" s="11" t="s">
        <v>298</v>
      </c>
      <c r="C233" s="11"/>
      <c r="D233" s="11" t="s">
        <v>961</v>
      </c>
      <c r="E233" s="11" t="s">
        <v>962</v>
      </c>
      <c r="F233" s="11"/>
      <c r="G233" s="11"/>
      <c r="H233" s="11"/>
      <c r="I233" s="11"/>
      <c r="J233" s="11"/>
      <c r="K233" s="16" t="s">
        <v>340</v>
      </c>
      <c r="M233" s="16">
        <v>0</v>
      </c>
      <c r="N233" s="16">
        <f t="shared" si="3"/>
        <v>0</v>
      </c>
    </row>
    <row r="234" spans="1:14">
      <c r="A234" s="11" t="s">
        <v>42</v>
      </c>
      <c r="B234" s="11" t="s">
        <v>298</v>
      </c>
      <c r="C234" s="11"/>
      <c r="D234" s="11" t="s">
        <v>963</v>
      </c>
      <c r="E234" s="11" t="s">
        <v>964</v>
      </c>
      <c r="F234" s="11"/>
      <c r="G234" s="11"/>
      <c r="H234" s="11"/>
      <c r="I234" s="11"/>
      <c r="J234" s="11"/>
      <c r="K234" s="16" t="s">
        <v>340</v>
      </c>
      <c r="M234" s="16">
        <v>0</v>
      </c>
      <c r="N234" s="16">
        <f t="shared" si="3"/>
        <v>0</v>
      </c>
    </row>
    <row r="235" spans="1:14">
      <c r="A235" s="11" t="s">
        <v>42</v>
      </c>
      <c r="B235" s="11" t="s">
        <v>298</v>
      </c>
      <c r="C235" s="11"/>
      <c r="D235" s="11" t="s">
        <v>965</v>
      </c>
      <c r="E235" s="11" t="s">
        <v>966</v>
      </c>
      <c r="F235" s="11"/>
      <c r="G235" s="11"/>
      <c r="H235" s="11"/>
      <c r="I235" s="11"/>
      <c r="J235" s="11"/>
      <c r="K235" s="16" t="s">
        <v>340</v>
      </c>
      <c r="M235" s="16">
        <v>0</v>
      </c>
      <c r="N235" s="16">
        <f t="shared" si="3"/>
        <v>0</v>
      </c>
    </row>
    <row r="236" spans="1:14">
      <c r="A236" s="11" t="s">
        <v>42</v>
      </c>
      <c r="B236" s="11" t="s">
        <v>298</v>
      </c>
      <c r="C236" s="11"/>
      <c r="D236" s="11" t="s">
        <v>967</v>
      </c>
      <c r="E236" s="11" t="s">
        <v>968</v>
      </c>
      <c r="F236" s="11"/>
      <c r="G236" s="11"/>
      <c r="H236" s="11"/>
      <c r="I236" s="11"/>
      <c r="J236" s="11"/>
      <c r="K236" s="16" t="s">
        <v>340</v>
      </c>
      <c r="M236" s="16">
        <v>0</v>
      </c>
      <c r="N236" s="16">
        <f t="shared" si="3"/>
        <v>0</v>
      </c>
    </row>
    <row r="237" spans="1:14">
      <c r="A237" s="11" t="s">
        <v>42</v>
      </c>
      <c r="B237" s="11" t="s">
        <v>298</v>
      </c>
      <c r="C237" s="11"/>
      <c r="D237" s="11" t="s">
        <v>969</v>
      </c>
      <c r="E237" s="11" t="s">
        <v>970</v>
      </c>
      <c r="F237" s="11"/>
      <c r="G237" s="11"/>
      <c r="H237" s="11"/>
      <c r="I237" s="11"/>
      <c r="J237" s="11"/>
      <c r="K237" s="16" t="s">
        <v>340</v>
      </c>
      <c r="M237" s="16">
        <v>0</v>
      </c>
      <c r="N237" s="16">
        <f t="shared" si="3"/>
        <v>0</v>
      </c>
    </row>
    <row r="238" spans="1:14">
      <c r="A238" s="11" t="s">
        <v>42</v>
      </c>
      <c r="B238" s="11" t="s">
        <v>298</v>
      </c>
      <c r="C238" s="11"/>
      <c r="D238" s="11" t="s">
        <v>971</v>
      </c>
      <c r="E238" s="11" t="s">
        <v>972</v>
      </c>
      <c r="F238" s="11"/>
      <c r="G238" s="11"/>
      <c r="H238" s="11"/>
      <c r="I238" s="11"/>
      <c r="J238" s="11"/>
      <c r="K238" s="16" t="s">
        <v>340</v>
      </c>
      <c r="M238" s="16">
        <v>0</v>
      </c>
      <c r="N238" s="16">
        <f t="shared" si="3"/>
        <v>0</v>
      </c>
    </row>
    <row r="239" spans="9:14">
      <c r="I239" s="4" t="s">
        <v>389</v>
      </c>
      <c r="J239" s="4">
        <f>SUM(J4:J238)</f>
        <v>3964475</v>
      </c>
      <c r="K239" s="4">
        <f t="shared" ref="K239:M239" si="4">SUM(K4:K238)</f>
        <v>0</v>
      </c>
      <c r="L239" s="4">
        <f t="shared" si="4"/>
        <v>0</v>
      </c>
      <c r="M239" s="4">
        <f t="shared" si="4"/>
        <v>326758</v>
      </c>
      <c r="N239" s="4">
        <f t="shared" ref="N239" si="5">SUM(N4:N238)</f>
        <v>4291233</v>
      </c>
    </row>
  </sheetData>
  <autoFilter ref="A3:U239">
    <extLst/>
  </autoFilter>
  <mergeCells count="14">
    <mergeCell ref="F2:K2"/>
    <mergeCell ref="A2:A3"/>
    <mergeCell ref="B2:B3"/>
    <mergeCell ref="C2:C3"/>
    <mergeCell ref="D2:D3"/>
    <mergeCell ref="E2:E3"/>
    <mergeCell ref="M2:M3"/>
    <mergeCell ref="N2:N3"/>
    <mergeCell ref="P2:P3"/>
    <mergeCell ref="Q2:Q3"/>
    <mergeCell ref="R2:R3"/>
    <mergeCell ref="S2:S3"/>
    <mergeCell ref="T2:T3"/>
    <mergeCell ref="U2:U3"/>
  </mergeCells>
  <hyperlinks>
    <hyperlink ref="A1" location="目录!A1" display="返回"/>
  </hyperlink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H14"/>
  <sheetViews>
    <sheetView workbookViewId="0">
      <selection activeCell="J22" sqref="J22"/>
    </sheetView>
  </sheetViews>
  <sheetFormatPr defaultColWidth="9" defaultRowHeight="13.5" outlineLevelCol="7"/>
  <cols>
    <col min="3" max="4" width="10.875" customWidth="1"/>
  </cols>
  <sheetData>
    <row r="2" spans="2:4">
      <c r="B2" t="s">
        <v>292</v>
      </c>
      <c r="C2" t="s">
        <v>973</v>
      </c>
      <c r="D2" t="s">
        <v>974</v>
      </c>
    </row>
    <row r="3" spans="2:7">
      <c r="B3" t="s">
        <v>19</v>
      </c>
      <c r="C3" t="s">
        <v>975</v>
      </c>
      <c r="D3">
        <v>7</v>
      </c>
      <c r="F3" t="s">
        <v>976</v>
      </c>
      <c r="G3" t="s">
        <v>879</v>
      </c>
    </row>
    <row r="4" spans="2:8">
      <c r="B4" t="s">
        <v>22</v>
      </c>
      <c r="C4" t="s">
        <v>977</v>
      </c>
      <c r="D4">
        <v>6</v>
      </c>
      <c r="G4" t="s">
        <v>978</v>
      </c>
      <c r="H4" t="s">
        <v>979</v>
      </c>
    </row>
    <row r="5" spans="2:8">
      <c r="B5" t="s">
        <v>35</v>
      </c>
      <c r="C5" t="s">
        <v>980</v>
      </c>
      <c r="D5">
        <v>11</v>
      </c>
      <c r="G5" t="s">
        <v>981</v>
      </c>
      <c r="H5" t="s">
        <v>982</v>
      </c>
    </row>
    <row r="6" spans="2:7">
      <c r="B6" t="s">
        <v>37</v>
      </c>
      <c r="C6" t="s">
        <v>983</v>
      </c>
      <c r="D6">
        <v>10</v>
      </c>
      <c r="F6" t="s">
        <v>984</v>
      </c>
      <c r="G6" t="s">
        <v>867</v>
      </c>
    </row>
    <row r="7" spans="2:8">
      <c r="B7" t="s">
        <v>54</v>
      </c>
      <c r="C7" t="s">
        <v>985</v>
      </c>
      <c r="D7">
        <v>7</v>
      </c>
      <c r="G7" t="s">
        <v>986</v>
      </c>
      <c r="H7" t="s">
        <v>987</v>
      </c>
    </row>
    <row r="8" spans="2:4">
      <c r="B8" s="1" t="s">
        <v>50</v>
      </c>
      <c r="C8" t="s">
        <v>988</v>
      </c>
      <c r="D8">
        <v>8</v>
      </c>
    </row>
    <row r="9" spans="2:4">
      <c r="B9" t="s">
        <v>52</v>
      </c>
      <c r="C9" t="s">
        <v>989</v>
      </c>
      <c r="D9">
        <v>2</v>
      </c>
    </row>
    <row r="10" spans="2:4">
      <c r="B10" t="s">
        <v>31</v>
      </c>
      <c r="C10" t="s">
        <v>990</v>
      </c>
      <c r="D10">
        <v>10</v>
      </c>
    </row>
    <row r="11" spans="2:4">
      <c r="B11" t="s">
        <v>26</v>
      </c>
      <c r="C11" t="s">
        <v>991</v>
      </c>
      <c r="D11">
        <v>15</v>
      </c>
    </row>
    <row r="12" spans="2:4">
      <c r="B12" t="s">
        <v>29</v>
      </c>
      <c r="C12" t="s">
        <v>992</v>
      </c>
      <c r="D12">
        <v>7</v>
      </c>
    </row>
    <row r="13" spans="2:2">
      <c r="B13" s="2" t="s">
        <v>56</v>
      </c>
    </row>
    <row r="14" spans="2:2">
      <c r="B14" s="3" t="s">
        <v>33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0"/>
  <sheetViews>
    <sheetView workbookViewId="0">
      <selection activeCell="A22" sqref="A22"/>
    </sheetView>
  </sheetViews>
  <sheetFormatPr defaultColWidth="9" defaultRowHeight="13.5" outlineLevelCol="2"/>
  <cols>
    <col min="1" max="1" width="21.1083333333333" style="4" customWidth="1"/>
    <col min="2" max="2" width="8.88333333333333" style="4" customWidth="1"/>
    <col min="3" max="3" width="6.88333333333333" style="4" customWidth="1"/>
  </cols>
  <sheetData>
    <row r="1" spans="1:1">
      <c r="A1" s="6" t="s">
        <v>14</v>
      </c>
    </row>
    <row r="2" ht="15" customHeight="1" spans="1:3">
      <c r="A2" s="219" t="s">
        <v>15</v>
      </c>
      <c r="B2" s="219" t="s">
        <v>16</v>
      </c>
      <c r="C2" s="219" t="s">
        <v>17</v>
      </c>
    </row>
    <row r="3" spans="1:3">
      <c r="A3" s="11" t="s">
        <v>18</v>
      </c>
      <c r="B3" s="11" t="s">
        <v>19</v>
      </c>
      <c r="C3" s="11" t="s">
        <v>20</v>
      </c>
    </row>
    <row r="4" spans="1:3">
      <c r="A4" s="11" t="s">
        <v>21</v>
      </c>
      <c r="B4" s="11" t="s">
        <v>22</v>
      </c>
      <c r="C4" s="11" t="s">
        <v>20</v>
      </c>
    </row>
    <row r="5" spans="1:3">
      <c r="A5" s="11" t="s">
        <v>23</v>
      </c>
      <c r="B5" s="11" t="s">
        <v>24</v>
      </c>
      <c r="C5" s="11" t="s">
        <v>20</v>
      </c>
    </row>
    <row r="6" spans="1:3">
      <c r="A6" s="11" t="s">
        <v>25</v>
      </c>
      <c r="B6" s="11" t="s">
        <v>26</v>
      </c>
      <c r="C6" s="11" t="s">
        <v>27</v>
      </c>
    </row>
    <row r="7" spans="1:3">
      <c r="A7" s="11" t="s">
        <v>28</v>
      </c>
      <c r="B7" s="11" t="s">
        <v>29</v>
      </c>
      <c r="C7" s="11" t="s">
        <v>20</v>
      </c>
    </row>
    <row r="8" spans="1:3">
      <c r="A8" s="11" t="s">
        <v>30</v>
      </c>
      <c r="B8" s="11" t="s">
        <v>31</v>
      </c>
      <c r="C8" s="11" t="s">
        <v>20</v>
      </c>
    </row>
    <row r="9" spans="1:3">
      <c r="A9" s="11" t="s">
        <v>32</v>
      </c>
      <c r="B9" s="11" t="s">
        <v>33</v>
      </c>
      <c r="C9" s="11" t="s">
        <v>27</v>
      </c>
    </row>
    <row r="10" spans="1:3">
      <c r="A10" s="11" t="s">
        <v>34</v>
      </c>
      <c r="B10" s="11" t="s">
        <v>35</v>
      </c>
      <c r="C10" s="11" t="s">
        <v>27</v>
      </c>
    </row>
    <row r="11" spans="1:3">
      <c r="A11" s="11" t="s">
        <v>36</v>
      </c>
      <c r="B11" s="11" t="s">
        <v>37</v>
      </c>
      <c r="C11" s="11" t="s">
        <v>27</v>
      </c>
    </row>
    <row r="12" spans="1:3">
      <c r="A12" s="11" t="s">
        <v>38</v>
      </c>
      <c r="B12" s="11" t="s">
        <v>39</v>
      </c>
      <c r="C12" s="11" t="s">
        <v>27</v>
      </c>
    </row>
    <row r="13" spans="1:3">
      <c r="A13" s="11" t="s">
        <v>40</v>
      </c>
      <c r="B13" s="11" t="s">
        <v>41</v>
      </c>
      <c r="C13" s="11" t="s">
        <v>27</v>
      </c>
    </row>
    <row r="14" spans="1:3">
      <c r="A14" s="11" t="s">
        <v>42</v>
      </c>
      <c r="B14" s="11" t="s">
        <v>43</v>
      </c>
      <c r="C14" s="11" t="s">
        <v>44</v>
      </c>
    </row>
    <row r="15" spans="1:3">
      <c r="A15" s="11" t="s">
        <v>45</v>
      </c>
      <c r="B15" s="11" t="s">
        <v>46</v>
      </c>
      <c r="C15" s="11" t="s">
        <v>44</v>
      </c>
    </row>
    <row r="16" spans="1:3">
      <c r="A16" s="11" t="s">
        <v>47</v>
      </c>
      <c r="B16" s="11" t="s">
        <v>48</v>
      </c>
      <c r="C16" s="11" t="s">
        <v>27</v>
      </c>
    </row>
    <row r="17" spans="1:3">
      <c r="A17" s="11" t="s">
        <v>49</v>
      </c>
      <c r="B17" s="11" t="s">
        <v>50</v>
      </c>
      <c r="C17" s="11" t="s">
        <v>20</v>
      </c>
    </row>
    <row r="18" spans="1:3">
      <c r="A18" s="11" t="s">
        <v>51</v>
      </c>
      <c r="B18" s="11" t="s">
        <v>52</v>
      </c>
      <c r="C18" s="11" t="s">
        <v>27</v>
      </c>
    </row>
    <row r="19" spans="1:3">
      <c r="A19" s="11" t="s">
        <v>53</v>
      </c>
      <c r="B19" s="11" t="s">
        <v>54</v>
      </c>
      <c r="C19" s="11" t="s">
        <v>20</v>
      </c>
    </row>
    <row r="20" spans="1:3">
      <c r="A20" s="11" t="s">
        <v>55</v>
      </c>
      <c r="B20" s="11" t="s">
        <v>56</v>
      </c>
      <c r="C20" s="11" t="s">
        <v>20</v>
      </c>
    </row>
  </sheetData>
  <hyperlinks>
    <hyperlink ref="A1" location="目录!A1" display="返回"/>
  </hyperlink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CFFFF"/>
  </sheetPr>
  <dimension ref="A1:C55"/>
  <sheetViews>
    <sheetView topLeftCell="A23" workbookViewId="0">
      <selection activeCell="B47" sqref="B47"/>
    </sheetView>
  </sheetViews>
  <sheetFormatPr defaultColWidth="9" defaultRowHeight="13.5" outlineLevelCol="2"/>
  <cols>
    <col min="2" max="2" width="31.6666666666667"/>
    <col min="3" max="3" width="23.8833333333333"/>
  </cols>
  <sheetData>
    <row r="1" spans="1:3">
      <c r="A1" t="s">
        <v>57</v>
      </c>
      <c r="B1" t="s">
        <v>58</v>
      </c>
      <c r="C1" s="6" t="s">
        <v>14</v>
      </c>
    </row>
    <row r="2" spans="1:2">
      <c r="A2" t="s">
        <v>59</v>
      </c>
      <c r="B2" t="s">
        <v>60</v>
      </c>
    </row>
    <row r="4" spans="1:3">
      <c r="A4" t="s">
        <v>61</v>
      </c>
      <c r="B4" t="s">
        <v>62</v>
      </c>
      <c r="C4" t="s">
        <v>63</v>
      </c>
    </row>
    <row r="5" spans="1:3">
      <c r="A5" t="s">
        <v>52</v>
      </c>
      <c r="C5">
        <v>217360</v>
      </c>
    </row>
    <row r="6" spans="2:3">
      <c r="B6" t="s">
        <v>64</v>
      </c>
      <c r="C6">
        <v>145560</v>
      </c>
    </row>
    <row r="7" spans="2:3">
      <c r="B7" t="s">
        <v>65</v>
      </c>
      <c r="C7">
        <v>71800</v>
      </c>
    </row>
    <row r="8" spans="1:3">
      <c r="A8" t="s">
        <v>54</v>
      </c>
      <c r="C8">
        <v>28159</v>
      </c>
    </row>
    <row r="9" spans="2:3">
      <c r="B9" t="s">
        <v>66</v>
      </c>
      <c r="C9">
        <v>3700</v>
      </c>
    </row>
    <row r="10" spans="2:3">
      <c r="B10" t="s">
        <v>67</v>
      </c>
      <c r="C10">
        <v>6900</v>
      </c>
    </row>
    <row r="11" spans="2:3">
      <c r="B11" t="s">
        <v>68</v>
      </c>
      <c r="C11">
        <v>4800</v>
      </c>
    </row>
    <row r="12" spans="2:3">
      <c r="B12" t="s">
        <v>69</v>
      </c>
      <c r="C12">
        <v>12759</v>
      </c>
    </row>
    <row r="13" spans="1:3">
      <c r="A13" t="s">
        <v>31</v>
      </c>
      <c r="C13">
        <v>9750</v>
      </c>
    </row>
    <row r="14" spans="2:3">
      <c r="B14" t="s">
        <v>70</v>
      </c>
      <c r="C14">
        <v>3206</v>
      </c>
    </row>
    <row r="15" spans="2:3">
      <c r="B15" t="s">
        <v>71</v>
      </c>
      <c r="C15">
        <v>16</v>
      </c>
    </row>
    <row r="16" spans="2:3">
      <c r="B16" t="s">
        <v>72</v>
      </c>
      <c r="C16">
        <v>6528</v>
      </c>
    </row>
    <row r="17" spans="1:3">
      <c r="A17" t="s">
        <v>29</v>
      </c>
      <c r="C17">
        <v>69920</v>
      </c>
    </row>
    <row r="18" spans="2:3">
      <c r="B18" t="s">
        <v>73</v>
      </c>
      <c r="C18">
        <v>27720</v>
      </c>
    </row>
    <row r="19" spans="2:3">
      <c r="B19" t="s">
        <v>74</v>
      </c>
      <c r="C19">
        <v>36000</v>
      </c>
    </row>
    <row r="20" spans="2:3">
      <c r="B20" t="s">
        <v>75</v>
      </c>
      <c r="C20">
        <v>6200</v>
      </c>
    </row>
    <row r="21" spans="1:3">
      <c r="A21" t="s">
        <v>26</v>
      </c>
      <c r="C21">
        <v>46254</v>
      </c>
    </row>
    <row r="22" spans="2:3">
      <c r="B22" t="s">
        <v>76</v>
      </c>
      <c r="C22">
        <v>419</v>
      </c>
    </row>
    <row r="23" spans="2:3">
      <c r="B23" t="s">
        <v>77</v>
      </c>
      <c r="C23">
        <v>1437</v>
      </c>
    </row>
    <row r="24" spans="2:3">
      <c r="B24" t="s">
        <v>78</v>
      </c>
      <c r="C24">
        <v>5627</v>
      </c>
    </row>
    <row r="25" spans="2:3">
      <c r="B25" t="s">
        <v>79</v>
      </c>
      <c r="C25">
        <v>1595</v>
      </c>
    </row>
    <row r="26" spans="2:3">
      <c r="B26" t="s">
        <v>80</v>
      </c>
      <c r="C26">
        <v>3435</v>
      </c>
    </row>
    <row r="27" spans="2:3">
      <c r="B27" t="s">
        <v>81</v>
      </c>
      <c r="C27">
        <v>6749</v>
      </c>
    </row>
    <row r="28" spans="2:3">
      <c r="B28" t="s">
        <v>82</v>
      </c>
      <c r="C28">
        <v>3764</v>
      </c>
    </row>
    <row r="29" spans="2:3">
      <c r="B29" t="s">
        <v>83</v>
      </c>
      <c r="C29">
        <v>6790</v>
      </c>
    </row>
    <row r="30" spans="2:3">
      <c r="B30" t="s">
        <v>84</v>
      </c>
      <c r="C30">
        <v>21</v>
      </c>
    </row>
    <row r="31" spans="2:3">
      <c r="B31" t="s">
        <v>85</v>
      </c>
      <c r="C31">
        <v>5741</v>
      </c>
    </row>
    <row r="32" spans="2:3">
      <c r="B32" t="s">
        <v>86</v>
      </c>
      <c r="C32">
        <v>96</v>
      </c>
    </row>
    <row r="33" spans="2:3">
      <c r="B33" t="s">
        <v>87</v>
      </c>
      <c r="C33">
        <v>6223</v>
      </c>
    </row>
    <row r="34" spans="2:3">
      <c r="B34" t="s">
        <v>88</v>
      </c>
      <c r="C34">
        <v>3180</v>
      </c>
    </row>
    <row r="35" spans="2:3">
      <c r="B35" t="s">
        <v>89</v>
      </c>
      <c r="C35">
        <v>22</v>
      </c>
    </row>
    <row r="36" spans="2:3">
      <c r="B36" t="s">
        <v>90</v>
      </c>
      <c r="C36">
        <v>1155</v>
      </c>
    </row>
    <row r="37" spans="1:3">
      <c r="A37" t="s">
        <v>24</v>
      </c>
      <c r="C37">
        <v>30470</v>
      </c>
    </row>
    <row r="38" spans="2:3">
      <c r="B38" t="s">
        <v>91</v>
      </c>
      <c r="C38">
        <v>1614</v>
      </c>
    </row>
    <row r="39" spans="2:3">
      <c r="B39" t="s">
        <v>92</v>
      </c>
      <c r="C39">
        <v>4880</v>
      </c>
    </row>
    <row r="40" spans="2:3">
      <c r="B40" t="s">
        <v>93</v>
      </c>
      <c r="C40">
        <v>6300</v>
      </c>
    </row>
    <row r="41" spans="2:3">
      <c r="B41" t="s">
        <v>94</v>
      </c>
      <c r="C41">
        <v>17676</v>
      </c>
    </row>
    <row r="42" spans="1:3">
      <c r="A42" t="s">
        <v>41</v>
      </c>
      <c r="C42">
        <v>30777</v>
      </c>
    </row>
    <row r="43" spans="2:3">
      <c r="B43" t="s">
        <v>95</v>
      </c>
      <c r="C43">
        <v>8942</v>
      </c>
    </row>
    <row r="44" spans="2:3">
      <c r="B44" t="s">
        <v>96</v>
      </c>
      <c r="C44">
        <v>21835</v>
      </c>
    </row>
    <row r="45" spans="1:3">
      <c r="A45" t="s">
        <v>39</v>
      </c>
      <c r="C45">
        <v>59103</v>
      </c>
    </row>
    <row r="46" spans="2:3">
      <c r="B46" t="s">
        <v>97</v>
      </c>
      <c r="C46">
        <v>1810</v>
      </c>
    </row>
    <row r="47" spans="2:3">
      <c r="B47" t="s">
        <v>98</v>
      </c>
      <c r="C47">
        <v>57293</v>
      </c>
    </row>
    <row r="48" spans="1:3">
      <c r="A48" t="s">
        <v>22</v>
      </c>
      <c r="C48">
        <v>33386</v>
      </c>
    </row>
    <row r="49" spans="2:3">
      <c r="B49" t="s">
        <v>99</v>
      </c>
      <c r="C49">
        <v>22586</v>
      </c>
    </row>
    <row r="50" spans="2:3">
      <c r="B50" t="s">
        <v>100</v>
      </c>
      <c r="C50">
        <v>10800</v>
      </c>
    </row>
    <row r="51" spans="1:3">
      <c r="A51" t="s">
        <v>19</v>
      </c>
      <c r="C51">
        <v>80991</v>
      </c>
    </row>
    <row r="52" spans="2:3">
      <c r="B52" t="s">
        <v>101</v>
      </c>
      <c r="C52">
        <v>400</v>
      </c>
    </row>
    <row r="53" spans="2:3">
      <c r="B53" t="s">
        <v>102</v>
      </c>
      <c r="C53">
        <v>40000</v>
      </c>
    </row>
    <row r="54" spans="2:3">
      <c r="B54" t="s">
        <v>103</v>
      </c>
      <c r="C54">
        <v>40591</v>
      </c>
    </row>
    <row r="55" spans="1:3">
      <c r="A55" t="s">
        <v>104</v>
      </c>
      <c r="C55">
        <v>606170</v>
      </c>
    </row>
  </sheetData>
  <hyperlinks>
    <hyperlink ref="C1" location="目录!A1" display="返回"/>
  </hyperlink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CFFFF"/>
  </sheetPr>
  <dimension ref="A1:C81"/>
  <sheetViews>
    <sheetView workbookViewId="0">
      <selection activeCell="H12" sqref="H12"/>
    </sheetView>
  </sheetViews>
  <sheetFormatPr defaultColWidth="9" defaultRowHeight="13.5" outlineLevelCol="2"/>
  <cols>
    <col min="2" max="2" width="27.3333333333333"/>
    <col min="3" max="3" width="23.8833333333333"/>
  </cols>
  <sheetData>
    <row r="1" spans="1:3">
      <c r="A1" t="s">
        <v>57</v>
      </c>
      <c r="B1" t="s">
        <v>105</v>
      </c>
      <c r="C1" s="6" t="s">
        <v>14</v>
      </c>
    </row>
    <row r="2" spans="1:2">
      <c r="A2" t="s">
        <v>59</v>
      </c>
      <c r="B2" t="s">
        <v>60</v>
      </c>
    </row>
    <row r="4" spans="1:3">
      <c r="A4" t="s">
        <v>61</v>
      </c>
      <c r="B4" t="s">
        <v>62</v>
      </c>
      <c r="C4" t="s">
        <v>63</v>
      </c>
    </row>
    <row r="5" spans="1:3">
      <c r="A5" t="s">
        <v>35</v>
      </c>
      <c r="C5">
        <v>133230</v>
      </c>
    </row>
    <row r="6" spans="2:3">
      <c r="B6" t="s">
        <v>106</v>
      </c>
      <c r="C6">
        <v>4000</v>
      </c>
    </row>
    <row r="7" spans="2:3">
      <c r="B7" t="s">
        <v>107</v>
      </c>
      <c r="C7">
        <v>16927</v>
      </c>
    </row>
    <row r="8" spans="2:3">
      <c r="B8" t="s">
        <v>108</v>
      </c>
      <c r="C8">
        <v>36015</v>
      </c>
    </row>
    <row r="9" spans="2:3">
      <c r="B9" t="s">
        <v>109</v>
      </c>
      <c r="C9">
        <v>6400</v>
      </c>
    </row>
    <row r="10" spans="2:3">
      <c r="B10" t="s">
        <v>110</v>
      </c>
      <c r="C10">
        <v>609</v>
      </c>
    </row>
    <row r="11" spans="2:3">
      <c r="B11" t="s">
        <v>111</v>
      </c>
      <c r="C11">
        <v>1041</v>
      </c>
    </row>
    <row r="12" spans="2:3">
      <c r="B12" t="s">
        <v>112</v>
      </c>
      <c r="C12">
        <v>30901</v>
      </c>
    </row>
    <row r="13" spans="2:3">
      <c r="B13" t="s">
        <v>113</v>
      </c>
      <c r="C13">
        <v>5756</v>
      </c>
    </row>
    <row r="14" spans="2:3">
      <c r="B14" t="s">
        <v>114</v>
      </c>
      <c r="C14">
        <v>2000</v>
      </c>
    </row>
    <row r="15" spans="2:3">
      <c r="B15" t="s">
        <v>115</v>
      </c>
      <c r="C15">
        <v>1600</v>
      </c>
    </row>
    <row r="16" spans="2:3">
      <c r="B16" t="s">
        <v>116</v>
      </c>
      <c r="C16">
        <v>2800</v>
      </c>
    </row>
    <row r="17" spans="2:3">
      <c r="B17" t="s">
        <v>117</v>
      </c>
      <c r="C17">
        <v>19846</v>
      </c>
    </row>
    <row r="18" spans="2:3">
      <c r="B18" t="s">
        <v>118</v>
      </c>
      <c r="C18">
        <v>957</v>
      </c>
    </row>
    <row r="19" spans="2:3">
      <c r="B19" t="s">
        <v>119</v>
      </c>
      <c r="C19">
        <v>4378</v>
      </c>
    </row>
    <row r="20" spans="1:3">
      <c r="A20" t="s">
        <v>33</v>
      </c>
      <c r="C20">
        <v>33052</v>
      </c>
    </row>
    <row r="21" spans="2:3">
      <c r="B21" t="s">
        <v>120</v>
      </c>
      <c r="C21">
        <v>8000</v>
      </c>
    </row>
    <row r="22" spans="2:3">
      <c r="B22" t="s">
        <v>121</v>
      </c>
      <c r="C22">
        <v>25052</v>
      </c>
    </row>
    <row r="23" spans="1:3">
      <c r="A23" t="s">
        <v>37</v>
      </c>
      <c r="C23">
        <v>181101</v>
      </c>
    </row>
    <row r="24" spans="2:3">
      <c r="B24" t="s">
        <v>122</v>
      </c>
      <c r="C24">
        <v>6300</v>
      </c>
    </row>
    <row r="25" spans="2:3">
      <c r="B25" t="s">
        <v>123</v>
      </c>
      <c r="C25">
        <v>3396</v>
      </c>
    </row>
    <row r="26" spans="2:3">
      <c r="B26" t="s">
        <v>124</v>
      </c>
      <c r="C26">
        <v>13200</v>
      </c>
    </row>
    <row r="27" spans="2:3">
      <c r="B27" t="s">
        <v>125</v>
      </c>
      <c r="C27">
        <v>11300</v>
      </c>
    </row>
    <row r="28" spans="2:3">
      <c r="B28" t="s">
        <v>126</v>
      </c>
      <c r="C28">
        <v>4500</v>
      </c>
    </row>
    <row r="29" spans="2:3">
      <c r="B29" t="s">
        <v>127</v>
      </c>
      <c r="C29">
        <v>14000</v>
      </c>
    </row>
    <row r="30" spans="2:3">
      <c r="B30" t="s">
        <v>128</v>
      </c>
      <c r="C30">
        <v>625</v>
      </c>
    </row>
    <row r="31" spans="2:3">
      <c r="B31" t="s">
        <v>129</v>
      </c>
      <c r="C31">
        <v>29000</v>
      </c>
    </row>
    <row r="32" spans="2:3">
      <c r="B32" t="s">
        <v>130</v>
      </c>
      <c r="C32">
        <v>2400</v>
      </c>
    </row>
    <row r="33" spans="2:3">
      <c r="B33" t="s">
        <v>131</v>
      </c>
      <c r="C33">
        <v>13780</v>
      </c>
    </row>
    <row r="34" spans="2:3">
      <c r="B34" t="s">
        <v>132</v>
      </c>
      <c r="C34">
        <v>3100</v>
      </c>
    </row>
    <row r="35" spans="2:3">
      <c r="B35" t="s">
        <v>133</v>
      </c>
      <c r="C35">
        <v>22400</v>
      </c>
    </row>
    <row r="36" spans="2:3">
      <c r="B36" t="s">
        <v>134</v>
      </c>
      <c r="C36">
        <v>1300</v>
      </c>
    </row>
    <row r="37" spans="2:3">
      <c r="B37" t="s">
        <v>135</v>
      </c>
      <c r="C37">
        <v>9900</v>
      </c>
    </row>
    <row r="38" spans="2:3">
      <c r="B38" t="s">
        <v>136</v>
      </c>
      <c r="C38">
        <v>13500</v>
      </c>
    </row>
    <row r="39" spans="2:3">
      <c r="B39" t="s">
        <v>137</v>
      </c>
      <c r="C39">
        <v>25300</v>
      </c>
    </row>
    <row r="40" spans="2:3">
      <c r="B40" t="s">
        <v>138</v>
      </c>
      <c r="C40">
        <v>3900</v>
      </c>
    </row>
    <row r="41" spans="2:3">
      <c r="B41" t="s">
        <v>139</v>
      </c>
      <c r="C41">
        <v>1100</v>
      </c>
    </row>
    <row r="42" spans="2:3">
      <c r="B42" t="s">
        <v>140</v>
      </c>
      <c r="C42">
        <v>2100</v>
      </c>
    </row>
    <row r="43" spans="1:3">
      <c r="A43" t="s">
        <v>29</v>
      </c>
      <c r="C43">
        <v>10000</v>
      </c>
    </row>
    <row r="44" spans="2:3">
      <c r="B44" t="s">
        <v>73</v>
      </c>
      <c r="C44">
        <v>10000</v>
      </c>
    </row>
    <row r="45" spans="1:3">
      <c r="A45" t="s">
        <v>26</v>
      </c>
      <c r="C45">
        <v>291094</v>
      </c>
    </row>
    <row r="46" spans="2:3">
      <c r="B46" t="s">
        <v>141</v>
      </c>
      <c r="C46">
        <v>15800</v>
      </c>
    </row>
    <row r="47" spans="2:3">
      <c r="B47" t="s">
        <v>142</v>
      </c>
      <c r="C47">
        <v>3668</v>
      </c>
    </row>
    <row r="48" spans="2:3">
      <c r="B48" t="s">
        <v>143</v>
      </c>
      <c r="C48">
        <v>94200</v>
      </c>
    </row>
    <row r="49" spans="2:3">
      <c r="B49" t="s">
        <v>144</v>
      </c>
      <c r="C49">
        <v>3280</v>
      </c>
    </row>
    <row r="50" spans="2:3">
      <c r="B50" t="s">
        <v>145</v>
      </c>
      <c r="C50">
        <v>20314</v>
      </c>
    </row>
    <row r="51" spans="2:3">
      <c r="B51" t="s">
        <v>146</v>
      </c>
      <c r="C51">
        <v>6048</v>
      </c>
    </row>
    <row r="52" spans="2:3">
      <c r="B52" t="s">
        <v>147</v>
      </c>
      <c r="C52">
        <v>7706</v>
      </c>
    </row>
    <row r="53" spans="2:3">
      <c r="B53" t="s">
        <v>148</v>
      </c>
      <c r="C53">
        <v>1926</v>
      </c>
    </row>
    <row r="54" spans="2:3">
      <c r="B54" t="s">
        <v>149</v>
      </c>
      <c r="C54">
        <v>3260</v>
      </c>
    </row>
    <row r="55" spans="2:3">
      <c r="B55" t="s">
        <v>150</v>
      </c>
      <c r="C55">
        <v>25379</v>
      </c>
    </row>
    <row r="56" spans="2:3">
      <c r="B56" t="s">
        <v>151</v>
      </c>
      <c r="C56">
        <v>3251</v>
      </c>
    </row>
    <row r="57" spans="2:3">
      <c r="B57" t="s">
        <v>152</v>
      </c>
      <c r="C57">
        <v>493</v>
      </c>
    </row>
    <row r="58" spans="2:3">
      <c r="B58" t="s">
        <v>153</v>
      </c>
      <c r="C58">
        <v>9792</v>
      </c>
    </row>
    <row r="59" spans="2:3">
      <c r="B59" t="s">
        <v>154</v>
      </c>
      <c r="C59">
        <v>3950</v>
      </c>
    </row>
    <row r="60" spans="2:3">
      <c r="B60" t="s">
        <v>155</v>
      </c>
      <c r="C60">
        <v>7503</v>
      </c>
    </row>
    <row r="61" spans="2:3">
      <c r="B61" t="s">
        <v>156</v>
      </c>
      <c r="C61">
        <v>487</v>
      </c>
    </row>
    <row r="62" spans="2:3">
      <c r="B62" t="s">
        <v>157</v>
      </c>
      <c r="C62">
        <v>3171</v>
      </c>
    </row>
    <row r="63" spans="2:3">
      <c r="B63" t="s">
        <v>158</v>
      </c>
      <c r="C63">
        <v>55020</v>
      </c>
    </row>
    <row r="64" spans="2:3">
      <c r="B64" t="s">
        <v>159</v>
      </c>
      <c r="C64">
        <v>9500</v>
      </c>
    </row>
    <row r="65" spans="2:3">
      <c r="B65" t="s">
        <v>160</v>
      </c>
      <c r="C65">
        <v>16300</v>
      </c>
    </row>
    <row r="66" spans="2:3">
      <c r="B66" t="s">
        <v>161</v>
      </c>
      <c r="C66">
        <v>46</v>
      </c>
    </row>
    <row r="67" spans="1:3">
      <c r="A67" t="s">
        <v>19</v>
      </c>
      <c r="C67">
        <v>312266</v>
      </c>
    </row>
    <row r="68" spans="2:3">
      <c r="B68" t="s">
        <v>101</v>
      </c>
      <c r="C68">
        <v>22369</v>
      </c>
    </row>
    <row r="69" spans="2:3">
      <c r="B69" t="s">
        <v>162</v>
      </c>
      <c r="C69">
        <v>2300</v>
      </c>
    </row>
    <row r="70" spans="2:3">
      <c r="B70" t="s">
        <v>163</v>
      </c>
      <c r="C70">
        <v>6480</v>
      </c>
    </row>
    <row r="71" spans="2:3">
      <c r="B71" t="s">
        <v>164</v>
      </c>
      <c r="C71">
        <v>2100</v>
      </c>
    </row>
    <row r="72" spans="2:3">
      <c r="B72" t="s">
        <v>165</v>
      </c>
      <c r="C72">
        <v>80958</v>
      </c>
    </row>
    <row r="73" spans="2:3">
      <c r="B73" t="s">
        <v>166</v>
      </c>
      <c r="C73">
        <v>2608</v>
      </c>
    </row>
    <row r="74" spans="2:3">
      <c r="B74" t="s">
        <v>167</v>
      </c>
      <c r="C74">
        <v>53300</v>
      </c>
    </row>
    <row r="75" spans="2:3">
      <c r="B75" t="s">
        <v>168</v>
      </c>
      <c r="C75">
        <v>12800</v>
      </c>
    </row>
    <row r="76" spans="2:3">
      <c r="B76" t="s">
        <v>169</v>
      </c>
      <c r="C76">
        <v>28140</v>
      </c>
    </row>
    <row r="77" spans="2:3">
      <c r="B77" t="s">
        <v>170</v>
      </c>
      <c r="C77">
        <v>47300</v>
      </c>
    </row>
    <row r="78" spans="2:3">
      <c r="B78" t="s">
        <v>171</v>
      </c>
      <c r="C78">
        <v>50863</v>
      </c>
    </row>
    <row r="79" spans="2:3">
      <c r="B79" t="s">
        <v>172</v>
      </c>
      <c r="C79">
        <v>1948</v>
      </c>
    </row>
    <row r="80" spans="2:3">
      <c r="B80" t="s">
        <v>173</v>
      </c>
      <c r="C80">
        <v>1100</v>
      </c>
    </row>
    <row r="81" spans="1:3">
      <c r="A81" t="s">
        <v>104</v>
      </c>
      <c r="C81">
        <v>960743</v>
      </c>
    </row>
  </sheetData>
  <hyperlinks>
    <hyperlink ref="C1" location="目录!A1" display="返回"/>
  </hyperlink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CFFFF"/>
  </sheetPr>
  <dimension ref="A1:C55"/>
  <sheetViews>
    <sheetView topLeftCell="A33" workbookViewId="0">
      <selection activeCell="A4" sqref="A4:C55"/>
    </sheetView>
  </sheetViews>
  <sheetFormatPr defaultColWidth="9" defaultRowHeight="13.5" outlineLevelCol="2"/>
  <cols>
    <col min="1" max="1" width="13.4416666666667"/>
    <col min="2" max="2" width="31.6666666666667"/>
    <col min="3" max="3" width="23.8833333333333"/>
  </cols>
  <sheetData>
    <row r="1" spans="1:2">
      <c r="A1" t="s">
        <v>57</v>
      </c>
      <c r="B1" t="s">
        <v>58</v>
      </c>
    </row>
    <row r="2" spans="1:2">
      <c r="A2" t="s">
        <v>59</v>
      </c>
      <c r="B2" t="s">
        <v>60</v>
      </c>
    </row>
    <row r="4" spans="1:3">
      <c r="A4" t="s">
        <v>61</v>
      </c>
      <c r="B4" t="s">
        <v>62</v>
      </c>
      <c r="C4" t="s">
        <v>63</v>
      </c>
    </row>
    <row r="5" spans="1:3">
      <c r="A5" t="s">
        <v>52</v>
      </c>
      <c r="C5">
        <v>217360</v>
      </c>
    </row>
    <row r="6" spans="2:3">
      <c r="B6" t="s">
        <v>64</v>
      </c>
      <c r="C6">
        <v>145560</v>
      </c>
    </row>
    <row r="7" spans="2:3">
      <c r="B7" t="s">
        <v>65</v>
      </c>
      <c r="C7">
        <v>71800</v>
      </c>
    </row>
    <row r="8" spans="1:3">
      <c r="A8" t="s">
        <v>54</v>
      </c>
      <c r="C8">
        <v>28159</v>
      </c>
    </row>
    <row r="9" spans="2:3">
      <c r="B9" t="s">
        <v>66</v>
      </c>
      <c r="C9">
        <v>3700</v>
      </c>
    </row>
    <row r="10" spans="2:3">
      <c r="B10" t="s">
        <v>67</v>
      </c>
      <c r="C10">
        <v>6900</v>
      </c>
    </row>
    <row r="11" spans="2:3">
      <c r="B11" t="s">
        <v>68</v>
      </c>
      <c r="C11">
        <v>4800</v>
      </c>
    </row>
    <row r="12" spans="2:3">
      <c r="B12" t="s">
        <v>69</v>
      </c>
      <c r="C12">
        <v>12759</v>
      </c>
    </row>
    <row r="13" spans="1:3">
      <c r="A13" t="s">
        <v>31</v>
      </c>
      <c r="C13">
        <v>9750</v>
      </c>
    </row>
    <row r="14" spans="2:3">
      <c r="B14" t="s">
        <v>70</v>
      </c>
      <c r="C14">
        <v>3206</v>
      </c>
    </row>
    <row r="15" spans="2:3">
      <c r="B15" t="s">
        <v>71</v>
      </c>
      <c r="C15">
        <v>16</v>
      </c>
    </row>
    <row r="16" spans="2:3">
      <c r="B16" t="s">
        <v>72</v>
      </c>
      <c r="C16">
        <v>6528</v>
      </c>
    </row>
    <row r="17" spans="1:3">
      <c r="A17" t="s">
        <v>29</v>
      </c>
      <c r="C17">
        <v>69920</v>
      </c>
    </row>
    <row r="18" spans="2:3">
      <c r="B18" t="s">
        <v>73</v>
      </c>
      <c r="C18">
        <v>27720</v>
      </c>
    </row>
    <row r="19" spans="2:3">
      <c r="B19" t="s">
        <v>74</v>
      </c>
      <c r="C19">
        <v>36000</v>
      </c>
    </row>
    <row r="20" spans="2:3">
      <c r="B20" t="s">
        <v>75</v>
      </c>
      <c r="C20">
        <v>6200</v>
      </c>
    </row>
    <row r="21" spans="1:3">
      <c r="A21" t="s">
        <v>26</v>
      </c>
      <c r="C21">
        <v>46254</v>
      </c>
    </row>
    <row r="22" spans="2:3">
      <c r="B22" t="s">
        <v>76</v>
      </c>
      <c r="C22">
        <v>419</v>
      </c>
    </row>
    <row r="23" spans="2:3">
      <c r="B23" t="s">
        <v>77</v>
      </c>
      <c r="C23">
        <v>1437</v>
      </c>
    </row>
    <row r="24" spans="2:3">
      <c r="B24" t="s">
        <v>78</v>
      </c>
      <c r="C24">
        <v>5627</v>
      </c>
    </row>
    <row r="25" spans="2:3">
      <c r="B25" t="s">
        <v>79</v>
      </c>
      <c r="C25">
        <v>1595</v>
      </c>
    </row>
    <row r="26" spans="2:3">
      <c r="B26" t="s">
        <v>80</v>
      </c>
      <c r="C26">
        <v>3435</v>
      </c>
    </row>
    <row r="27" spans="2:3">
      <c r="B27" t="s">
        <v>81</v>
      </c>
      <c r="C27">
        <v>6749</v>
      </c>
    </row>
    <row r="28" spans="2:3">
      <c r="B28" t="s">
        <v>82</v>
      </c>
      <c r="C28">
        <v>3764</v>
      </c>
    </row>
    <row r="29" spans="2:3">
      <c r="B29" t="s">
        <v>83</v>
      </c>
      <c r="C29">
        <v>6790</v>
      </c>
    </row>
    <row r="30" spans="2:3">
      <c r="B30" t="s">
        <v>84</v>
      </c>
      <c r="C30">
        <v>21</v>
      </c>
    </row>
    <row r="31" spans="2:3">
      <c r="B31" t="s">
        <v>85</v>
      </c>
      <c r="C31">
        <v>5741</v>
      </c>
    </row>
    <row r="32" spans="2:3">
      <c r="B32" t="s">
        <v>86</v>
      </c>
      <c r="C32">
        <v>96</v>
      </c>
    </row>
    <row r="33" spans="2:3">
      <c r="B33" t="s">
        <v>87</v>
      </c>
      <c r="C33">
        <v>6223</v>
      </c>
    </row>
    <row r="34" spans="2:3">
      <c r="B34" t="s">
        <v>88</v>
      </c>
      <c r="C34">
        <v>3180</v>
      </c>
    </row>
    <row r="35" spans="2:3">
      <c r="B35" t="s">
        <v>89</v>
      </c>
      <c r="C35">
        <v>22</v>
      </c>
    </row>
    <row r="36" spans="2:3">
      <c r="B36" t="s">
        <v>90</v>
      </c>
      <c r="C36">
        <v>1155</v>
      </c>
    </row>
    <row r="37" spans="1:3">
      <c r="A37" t="s">
        <v>24</v>
      </c>
      <c r="C37">
        <v>30470</v>
      </c>
    </row>
    <row r="38" spans="2:3">
      <c r="B38" t="s">
        <v>91</v>
      </c>
      <c r="C38">
        <v>1614</v>
      </c>
    </row>
    <row r="39" spans="2:3">
      <c r="B39" t="s">
        <v>92</v>
      </c>
      <c r="C39">
        <v>4880</v>
      </c>
    </row>
    <row r="40" spans="2:3">
      <c r="B40" t="s">
        <v>93</v>
      </c>
      <c r="C40">
        <v>6300</v>
      </c>
    </row>
    <row r="41" spans="2:3">
      <c r="B41" t="s">
        <v>94</v>
      </c>
      <c r="C41">
        <v>17676</v>
      </c>
    </row>
    <row r="42" spans="1:3">
      <c r="A42" t="s">
        <v>41</v>
      </c>
      <c r="C42">
        <v>30777</v>
      </c>
    </row>
    <row r="43" spans="2:3">
      <c r="B43" t="s">
        <v>95</v>
      </c>
      <c r="C43">
        <v>8942</v>
      </c>
    </row>
    <row r="44" spans="2:3">
      <c r="B44" t="s">
        <v>96</v>
      </c>
      <c r="C44">
        <v>21835</v>
      </c>
    </row>
    <row r="45" spans="1:3">
      <c r="A45" t="s">
        <v>39</v>
      </c>
      <c r="C45">
        <v>59103</v>
      </c>
    </row>
    <row r="46" spans="2:3">
      <c r="B46" t="s">
        <v>97</v>
      </c>
      <c r="C46">
        <v>1810</v>
      </c>
    </row>
    <row r="47" spans="2:3">
      <c r="B47" t="s">
        <v>98</v>
      </c>
      <c r="C47">
        <v>57293</v>
      </c>
    </row>
    <row r="48" spans="1:3">
      <c r="A48" t="s">
        <v>22</v>
      </c>
      <c r="C48">
        <v>33386</v>
      </c>
    </row>
    <row r="49" spans="2:3">
      <c r="B49" t="s">
        <v>99</v>
      </c>
      <c r="C49">
        <v>22586</v>
      </c>
    </row>
    <row r="50" spans="2:3">
      <c r="B50" t="s">
        <v>100</v>
      </c>
      <c r="C50">
        <v>10800</v>
      </c>
    </row>
    <row r="51" spans="1:3">
      <c r="A51" t="s">
        <v>19</v>
      </c>
      <c r="C51">
        <v>80991</v>
      </c>
    </row>
    <row r="52" spans="2:3">
      <c r="B52" t="s">
        <v>101</v>
      </c>
      <c r="C52">
        <v>400</v>
      </c>
    </row>
    <row r="53" spans="2:3">
      <c r="B53" t="s">
        <v>102</v>
      </c>
      <c r="C53">
        <v>40000</v>
      </c>
    </row>
    <row r="54" spans="2:3">
      <c r="B54" t="s">
        <v>103</v>
      </c>
      <c r="C54">
        <v>40591</v>
      </c>
    </row>
    <row r="55" spans="1:3">
      <c r="A55" t="s">
        <v>104</v>
      </c>
      <c r="C55">
        <v>606170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CFFFF"/>
  </sheetPr>
  <dimension ref="A1:C31"/>
  <sheetViews>
    <sheetView workbookViewId="0">
      <selection activeCell="A1" sqref="A1"/>
    </sheetView>
  </sheetViews>
  <sheetFormatPr defaultColWidth="9" defaultRowHeight="13.5" outlineLevelCol="2"/>
  <cols>
    <col min="1" max="1" width="13.4416666666667"/>
    <col min="2" max="2" width="13.775"/>
    <col min="3" max="3" width="12.775"/>
  </cols>
  <sheetData>
    <row r="1" spans="1:1">
      <c r="A1" s="6" t="s">
        <v>14</v>
      </c>
    </row>
    <row r="2" spans="1:2">
      <c r="A2" t="s">
        <v>57</v>
      </c>
      <c r="B2" t="s">
        <v>174</v>
      </c>
    </row>
    <row r="3" spans="1:2">
      <c r="A3" t="s">
        <v>175</v>
      </c>
      <c r="B3" t="s">
        <v>176</v>
      </c>
    </row>
    <row r="5" spans="1:3">
      <c r="A5" t="s">
        <v>61</v>
      </c>
      <c r="B5" t="s">
        <v>177</v>
      </c>
      <c r="C5" t="s">
        <v>178</v>
      </c>
    </row>
    <row r="6" spans="1:3">
      <c r="A6" t="s">
        <v>52</v>
      </c>
      <c r="C6">
        <v>26980</v>
      </c>
    </row>
    <row r="7" spans="2:3">
      <c r="B7" t="s">
        <v>64</v>
      </c>
      <c r="C7">
        <v>24980</v>
      </c>
    </row>
    <row r="8" spans="2:3">
      <c r="B8" t="s">
        <v>65</v>
      </c>
      <c r="C8">
        <v>2000</v>
      </c>
    </row>
    <row r="9" spans="1:3">
      <c r="A9" t="s">
        <v>54</v>
      </c>
      <c r="C9">
        <v>13151</v>
      </c>
    </row>
    <row r="10" spans="2:3">
      <c r="B10" t="s">
        <v>67</v>
      </c>
      <c r="C10">
        <v>300</v>
      </c>
    </row>
    <row r="11" spans="2:3">
      <c r="B11" t="s">
        <v>69</v>
      </c>
      <c r="C11">
        <v>12851</v>
      </c>
    </row>
    <row r="12" spans="1:3">
      <c r="A12" t="s">
        <v>31</v>
      </c>
      <c r="C12">
        <v>13187</v>
      </c>
    </row>
    <row r="13" spans="2:3">
      <c r="B13" t="s">
        <v>70</v>
      </c>
      <c r="C13">
        <v>1432</v>
      </c>
    </row>
    <row r="14" spans="2:3">
      <c r="B14" t="s">
        <v>71</v>
      </c>
      <c r="C14">
        <v>2871</v>
      </c>
    </row>
    <row r="15" spans="2:3">
      <c r="B15" t="s">
        <v>72</v>
      </c>
      <c r="C15">
        <v>8884</v>
      </c>
    </row>
    <row r="16" spans="1:3">
      <c r="A16" t="s">
        <v>29</v>
      </c>
      <c r="C16">
        <v>6515</v>
      </c>
    </row>
    <row r="17" spans="2:3">
      <c r="B17" t="s">
        <v>73</v>
      </c>
      <c r="C17">
        <v>6515</v>
      </c>
    </row>
    <row r="18" spans="1:3">
      <c r="A18" t="s">
        <v>24</v>
      </c>
      <c r="C18">
        <v>19657</v>
      </c>
    </row>
    <row r="19" spans="2:3">
      <c r="B19" t="s">
        <v>92</v>
      </c>
      <c r="C19">
        <v>1020</v>
      </c>
    </row>
    <row r="20" spans="2:3">
      <c r="B20" t="s">
        <v>93</v>
      </c>
      <c r="C20">
        <v>3100</v>
      </c>
    </row>
    <row r="21" spans="2:3">
      <c r="B21" t="s">
        <v>94</v>
      </c>
      <c r="C21">
        <v>15537</v>
      </c>
    </row>
    <row r="22" spans="1:3">
      <c r="A22" t="s">
        <v>41</v>
      </c>
      <c r="C22">
        <v>15699</v>
      </c>
    </row>
    <row r="23" spans="2:3">
      <c r="B23" t="s">
        <v>95</v>
      </c>
      <c r="C23">
        <v>11963</v>
      </c>
    </row>
    <row r="24" spans="2:3">
      <c r="B24" t="s">
        <v>96</v>
      </c>
      <c r="C24">
        <v>3736</v>
      </c>
    </row>
    <row r="25" spans="1:3">
      <c r="A25" t="s">
        <v>39</v>
      </c>
      <c r="C25">
        <v>15658</v>
      </c>
    </row>
    <row r="26" spans="2:3">
      <c r="B26" t="s">
        <v>98</v>
      </c>
      <c r="C26">
        <v>15658</v>
      </c>
    </row>
    <row r="27" spans="1:3">
      <c r="A27" t="s">
        <v>22</v>
      </c>
      <c r="C27">
        <v>8514</v>
      </c>
    </row>
    <row r="28" spans="2:3">
      <c r="B28" t="s">
        <v>99</v>
      </c>
      <c r="C28">
        <v>8514</v>
      </c>
    </row>
    <row r="29" spans="1:3">
      <c r="A29" t="s">
        <v>19</v>
      </c>
      <c r="C29">
        <v>37380</v>
      </c>
    </row>
    <row r="30" spans="2:3">
      <c r="B30" t="s">
        <v>103</v>
      </c>
      <c r="C30">
        <v>37380</v>
      </c>
    </row>
    <row r="31" spans="1:3">
      <c r="A31" t="s">
        <v>104</v>
      </c>
      <c r="C31">
        <v>156741</v>
      </c>
    </row>
  </sheetData>
  <hyperlinks>
    <hyperlink ref="A1" location="目录!A1" display="返回"/>
  </hyperlink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R715"/>
  <sheetViews>
    <sheetView workbookViewId="0">
      <selection activeCell="A2" sqref="$A2:$XFD2"/>
    </sheetView>
  </sheetViews>
  <sheetFormatPr defaultColWidth="9" defaultRowHeight="13.5"/>
  <cols>
    <col min="2" max="2" width="15.8833333333333" customWidth="1"/>
    <col min="3" max="3" width="7.33333333333333" style="209" customWidth="1"/>
    <col min="4" max="4" width="6.88333333333333" style="210" customWidth="1"/>
    <col min="5" max="5" width="9.44166666666667" style="211" customWidth="1"/>
    <col min="6" max="6" width="5.44166666666667" customWidth="1"/>
    <col min="7" max="7" width="8.10833333333333" customWidth="1"/>
    <col min="8" max="8" width="5.10833333333333" customWidth="1"/>
    <col min="9" max="9" width="14.1083333333333" customWidth="1"/>
    <col min="11" max="11" width="5.21666666666667" customWidth="1"/>
    <col min="12" max="12" width="8.66666666666667" customWidth="1"/>
    <col min="13" max="13" width="10.3333333333333" style="211"/>
    <col min="14" max="14" width="11.4416666666667" style="211"/>
    <col min="15" max="15" width="11.4416666666667" style="212"/>
    <col min="16" max="18" width="2.88333333333333" customWidth="1"/>
    <col min="19" max="19" width="8" customWidth="1"/>
    <col min="20" max="20" width="9.10833333333333" customWidth="1"/>
    <col min="21" max="21" width="6.66666666666667" customWidth="1"/>
    <col min="22" max="23" width="2.88333333333333" customWidth="1"/>
    <col min="24" max="24" width="9" style="140"/>
    <col min="25" max="25" width="15.8833333333333" style="209" customWidth="1"/>
    <col min="27" max="27" width="12.6666666666667"/>
    <col min="31" max="32" width="10.3333333333333" style="211"/>
  </cols>
  <sheetData>
    <row r="1" spans="1:1">
      <c r="A1" s="6" t="s">
        <v>14</v>
      </c>
    </row>
    <row r="2" spans="1:44">
      <c r="A2" t="s">
        <v>57</v>
      </c>
      <c r="B2" t="s">
        <v>15</v>
      </c>
      <c r="C2" s="209" t="s">
        <v>61</v>
      </c>
      <c r="D2" s="210" t="s">
        <v>179</v>
      </c>
      <c r="E2" s="211" t="s">
        <v>180</v>
      </c>
      <c r="F2" t="s">
        <v>181</v>
      </c>
      <c r="G2" t="s">
        <v>182</v>
      </c>
      <c r="H2" t="s">
        <v>183</v>
      </c>
      <c r="I2" s="213" t="s">
        <v>62</v>
      </c>
      <c r="J2" t="s">
        <v>184</v>
      </c>
      <c r="K2" t="s">
        <v>185</v>
      </c>
      <c r="L2" t="s">
        <v>186</v>
      </c>
      <c r="M2" s="211" t="s">
        <v>187</v>
      </c>
      <c r="N2" s="211" t="s">
        <v>188</v>
      </c>
      <c r="O2" s="212" t="s">
        <v>59</v>
      </c>
      <c r="P2" t="s">
        <v>189</v>
      </c>
      <c r="Q2" t="s">
        <v>190</v>
      </c>
      <c r="R2" t="s">
        <v>191</v>
      </c>
      <c r="S2" t="s">
        <v>192</v>
      </c>
      <c r="T2" t="s">
        <v>193</v>
      </c>
      <c r="U2" t="s">
        <v>194</v>
      </c>
      <c r="V2" t="s">
        <v>195</v>
      </c>
      <c r="W2" t="s">
        <v>196</v>
      </c>
      <c r="X2" s="140" t="s">
        <v>197</v>
      </c>
      <c r="Y2" s="209" t="s">
        <v>198</v>
      </c>
      <c r="Z2" t="s">
        <v>199</v>
      </c>
      <c r="AA2" t="s">
        <v>200</v>
      </c>
      <c r="AB2" t="s">
        <v>201</v>
      </c>
      <c r="AC2" t="s">
        <v>202</v>
      </c>
      <c r="AD2" t="s">
        <v>203</v>
      </c>
      <c r="AE2" s="211" t="s">
        <v>204</v>
      </c>
      <c r="AF2" s="211" t="s">
        <v>205</v>
      </c>
      <c r="AG2" t="s">
        <v>206</v>
      </c>
      <c r="AH2" t="s">
        <v>207</v>
      </c>
      <c r="AI2" t="s">
        <v>208</v>
      </c>
      <c r="AJ2" t="s">
        <v>209</v>
      </c>
      <c r="AK2" t="s">
        <v>210</v>
      </c>
      <c r="AL2" t="s">
        <v>211</v>
      </c>
      <c r="AM2" t="s">
        <v>212</v>
      </c>
      <c r="AN2" t="s">
        <v>213</v>
      </c>
      <c r="AO2" t="s">
        <v>214</v>
      </c>
      <c r="AP2" t="s">
        <v>215</v>
      </c>
      <c r="AQ2" t="s">
        <v>216</v>
      </c>
      <c r="AR2" t="s">
        <v>217</v>
      </c>
    </row>
    <row r="3" hidden="1" spans="1:44">
      <c r="A3" t="s">
        <v>105</v>
      </c>
      <c r="B3" t="s">
        <v>36</v>
      </c>
      <c r="C3" s="209" t="s">
        <v>37</v>
      </c>
      <c r="D3" s="210">
        <v>71020121051195</v>
      </c>
      <c r="E3" s="211">
        <v>44342</v>
      </c>
      <c r="F3" t="s">
        <v>218</v>
      </c>
      <c r="G3" t="s">
        <v>219</v>
      </c>
      <c r="H3">
        <v>12</v>
      </c>
      <c r="I3" t="s">
        <v>137</v>
      </c>
      <c r="J3" t="s">
        <v>220</v>
      </c>
      <c r="K3" t="s">
        <v>221</v>
      </c>
      <c r="L3">
        <v>1000</v>
      </c>
      <c r="M3" s="211">
        <v>44382</v>
      </c>
      <c r="N3" s="211">
        <v>44382</v>
      </c>
      <c r="O3" s="212" t="s">
        <v>60</v>
      </c>
      <c r="P3" t="s">
        <v>222</v>
      </c>
      <c r="S3">
        <v>0</v>
      </c>
      <c r="T3">
        <v>0</v>
      </c>
      <c r="U3">
        <v>0</v>
      </c>
      <c r="V3">
        <v>0</v>
      </c>
      <c r="W3">
        <v>0</v>
      </c>
      <c r="X3" s="140">
        <v>1000</v>
      </c>
      <c r="Y3" s="209">
        <f t="shared" ref="Y3:Y66" si="0">L3-S3</f>
        <v>1000</v>
      </c>
      <c r="Z3">
        <v>0</v>
      </c>
      <c r="AE3"/>
      <c r="AF3"/>
      <c r="AG3" t="s">
        <v>223</v>
      </c>
      <c r="AN3" t="s">
        <v>218</v>
      </c>
      <c r="AO3" t="s">
        <v>224</v>
      </c>
      <c r="AP3" t="s">
        <v>225</v>
      </c>
      <c r="AQ3">
        <v>0.13</v>
      </c>
      <c r="AR3" t="s">
        <v>226</v>
      </c>
    </row>
    <row r="4" hidden="1" spans="1:44">
      <c r="A4" t="s">
        <v>105</v>
      </c>
      <c r="B4" t="s">
        <v>36</v>
      </c>
      <c r="C4" s="209" t="s">
        <v>37</v>
      </c>
      <c r="D4" s="210">
        <v>71020121051443</v>
      </c>
      <c r="E4" s="211">
        <v>44347</v>
      </c>
      <c r="F4" t="s">
        <v>218</v>
      </c>
      <c r="G4" t="s">
        <v>219</v>
      </c>
      <c r="H4">
        <v>2</v>
      </c>
      <c r="I4" t="s">
        <v>135</v>
      </c>
      <c r="J4" t="s">
        <v>220</v>
      </c>
      <c r="K4" t="s">
        <v>221</v>
      </c>
      <c r="L4">
        <v>800</v>
      </c>
      <c r="M4" s="211">
        <v>44409</v>
      </c>
      <c r="N4" s="211">
        <v>44409</v>
      </c>
      <c r="O4" s="212" t="s">
        <v>227</v>
      </c>
      <c r="P4" t="s">
        <v>222</v>
      </c>
      <c r="S4">
        <v>0</v>
      </c>
      <c r="T4">
        <v>0</v>
      </c>
      <c r="U4">
        <v>0</v>
      </c>
      <c r="V4">
        <v>0</v>
      </c>
      <c r="W4">
        <v>0</v>
      </c>
      <c r="X4" s="140">
        <v>800</v>
      </c>
      <c r="Y4" s="209">
        <f t="shared" si="0"/>
        <v>800</v>
      </c>
      <c r="Z4">
        <v>0</v>
      </c>
      <c r="AE4"/>
      <c r="AF4"/>
      <c r="AG4" t="s">
        <v>223</v>
      </c>
      <c r="AN4" t="s">
        <v>218</v>
      </c>
      <c r="AO4" t="s">
        <v>224</v>
      </c>
      <c r="AP4" t="s">
        <v>225</v>
      </c>
      <c r="AQ4">
        <v>0.13</v>
      </c>
      <c r="AR4" t="s">
        <v>226</v>
      </c>
    </row>
    <row r="5" hidden="1" spans="1:44">
      <c r="A5" t="s">
        <v>105</v>
      </c>
      <c r="B5" t="s">
        <v>36</v>
      </c>
      <c r="C5" s="209" t="s">
        <v>37</v>
      </c>
      <c r="D5" s="210">
        <v>71020121051443</v>
      </c>
      <c r="E5" s="211">
        <v>44347</v>
      </c>
      <c r="F5" t="s">
        <v>218</v>
      </c>
      <c r="G5" t="s">
        <v>219</v>
      </c>
      <c r="H5">
        <v>3</v>
      </c>
      <c r="I5" t="s">
        <v>138</v>
      </c>
      <c r="J5" t="s">
        <v>220</v>
      </c>
      <c r="K5" t="s">
        <v>221</v>
      </c>
      <c r="L5">
        <v>1700</v>
      </c>
      <c r="M5" s="211">
        <v>44405</v>
      </c>
      <c r="N5" s="211">
        <v>44405</v>
      </c>
      <c r="O5" s="212" t="s">
        <v>60</v>
      </c>
      <c r="P5" t="s">
        <v>222</v>
      </c>
      <c r="S5">
        <v>0</v>
      </c>
      <c r="T5">
        <v>0</v>
      </c>
      <c r="U5">
        <v>0</v>
      </c>
      <c r="V5">
        <v>0</v>
      </c>
      <c r="W5">
        <v>0</v>
      </c>
      <c r="X5" s="140">
        <v>1700</v>
      </c>
      <c r="Y5" s="209">
        <f t="shared" si="0"/>
        <v>1700</v>
      </c>
      <c r="Z5">
        <v>0</v>
      </c>
      <c r="AE5"/>
      <c r="AF5"/>
      <c r="AG5" t="s">
        <v>223</v>
      </c>
      <c r="AN5" t="s">
        <v>218</v>
      </c>
      <c r="AO5" t="s">
        <v>224</v>
      </c>
      <c r="AP5" t="s">
        <v>225</v>
      </c>
      <c r="AQ5">
        <v>0.13</v>
      </c>
      <c r="AR5" t="s">
        <v>226</v>
      </c>
    </row>
    <row r="6" hidden="1" spans="1:44">
      <c r="A6" t="s">
        <v>105</v>
      </c>
      <c r="B6" t="s">
        <v>36</v>
      </c>
      <c r="C6" s="209" t="s">
        <v>37</v>
      </c>
      <c r="D6" s="210">
        <v>71020121051443</v>
      </c>
      <c r="E6" s="211">
        <v>44347</v>
      </c>
      <c r="F6" t="s">
        <v>218</v>
      </c>
      <c r="G6" t="s">
        <v>219</v>
      </c>
      <c r="H6">
        <v>4</v>
      </c>
      <c r="I6" t="s">
        <v>139</v>
      </c>
      <c r="J6" t="s">
        <v>220</v>
      </c>
      <c r="K6" t="s">
        <v>221</v>
      </c>
      <c r="L6">
        <v>1100</v>
      </c>
      <c r="M6" s="211">
        <v>44399</v>
      </c>
      <c r="N6" s="211">
        <v>44399</v>
      </c>
      <c r="O6" s="212" t="s">
        <v>60</v>
      </c>
      <c r="P6" t="s">
        <v>222</v>
      </c>
      <c r="S6">
        <v>0</v>
      </c>
      <c r="T6">
        <v>0</v>
      </c>
      <c r="U6">
        <v>0</v>
      </c>
      <c r="V6">
        <v>0</v>
      </c>
      <c r="W6">
        <v>0</v>
      </c>
      <c r="X6" s="140">
        <v>1100</v>
      </c>
      <c r="Y6" s="209">
        <f t="shared" si="0"/>
        <v>1100</v>
      </c>
      <c r="Z6">
        <v>0</v>
      </c>
      <c r="AE6"/>
      <c r="AF6"/>
      <c r="AG6" t="s">
        <v>223</v>
      </c>
      <c r="AN6" t="s">
        <v>218</v>
      </c>
      <c r="AO6" t="s">
        <v>224</v>
      </c>
      <c r="AP6" t="s">
        <v>225</v>
      </c>
      <c r="AQ6">
        <v>0.13</v>
      </c>
      <c r="AR6" t="s">
        <v>226</v>
      </c>
    </row>
    <row r="7" hidden="1" spans="1:44">
      <c r="A7" t="s">
        <v>105</v>
      </c>
      <c r="B7" t="s">
        <v>36</v>
      </c>
      <c r="C7" s="209" t="s">
        <v>37</v>
      </c>
      <c r="D7" s="210">
        <v>71020121051443</v>
      </c>
      <c r="E7" s="211">
        <v>44347</v>
      </c>
      <c r="F7" t="s">
        <v>218</v>
      </c>
      <c r="G7" t="s">
        <v>219</v>
      </c>
      <c r="H7">
        <v>5</v>
      </c>
      <c r="I7" t="s">
        <v>137</v>
      </c>
      <c r="J7" t="s">
        <v>220</v>
      </c>
      <c r="K7" t="s">
        <v>221</v>
      </c>
      <c r="L7">
        <v>1000</v>
      </c>
      <c r="M7" s="211">
        <v>44409</v>
      </c>
      <c r="N7" s="211">
        <v>44409</v>
      </c>
      <c r="O7" s="212" t="s">
        <v>227</v>
      </c>
      <c r="P7" t="s">
        <v>222</v>
      </c>
      <c r="S7">
        <v>0</v>
      </c>
      <c r="T7">
        <v>0</v>
      </c>
      <c r="U7">
        <v>0</v>
      </c>
      <c r="V7">
        <v>0</v>
      </c>
      <c r="W7">
        <v>0</v>
      </c>
      <c r="X7" s="140">
        <v>1000</v>
      </c>
      <c r="Y7" s="209">
        <f t="shared" si="0"/>
        <v>1000</v>
      </c>
      <c r="Z7">
        <v>0</v>
      </c>
      <c r="AE7"/>
      <c r="AF7"/>
      <c r="AG7" t="s">
        <v>223</v>
      </c>
      <c r="AN7" t="s">
        <v>218</v>
      </c>
      <c r="AO7" t="s">
        <v>224</v>
      </c>
      <c r="AP7" t="s">
        <v>225</v>
      </c>
      <c r="AQ7">
        <v>0.13</v>
      </c>
      <c r="AR7" t="s">
        <v>226</v>
      </c>
    </row>
    <row r="8" hidden="1" spans="1:44">
      <c r="A8" t="s">
        <v>105</v>
      </c>
      <c r="B8" t="s">
        <v>36</v>
      </c>
      <c r="C8" s="209" t="s">
        <v>37</v>
      </c>
      <c r="D8" s="210">
        <v>71020121051443</v>
      </c>
      <c r="E8" s="211">
        <v>44347</v>
      </c>
      <c r="F8" t="s">
        <v>218</v>
      </c>
      <c r="G8" t="s">
        <v>219</v>
      </c>
      <c r="H8">
        <v>6</v>
      </c>
      <c r="I8" t="s">
        <v>124</v>
      </c>
      <c r="J8" t="s">
        <v>228</v>
      </c>
      <c r="K8" t="s">
        <v>221</v>
      </c>
      <c r="L8">
        <v>6600</v>
      </c>
      <c r="M8" s="211">
        <v>44413</v>
      </c>
      <c r="N8" s="211">
        <v>44413</v>
      </c>
      <c r="O8" s="212" t="s">
        <v>227</v>
      </c>
      <c r="P8" t="s">
        <v>222</v>
      </c>
      <c r="S8">
        <v>0</v>
      </c>
      <c r="T8">
        <v>0</v>
      </c>
      <c r="U8">
        <v>0</v>
      </c>
      <c r="V8">
        <v>0</v>
      </c>
      <c r="W8">
        <v>0</v>
      </c>
      <c r="X8" s="140">
        <v>6600</v>
      </c>
      <c r="Y8" s="209">
        <f t="shared" si="0"/>
        <v>6600</v>
      </c>
      <c r="Z8">
        <v>0</v>
      </c>
      <c r="AE8"/>
      <c r="AF8"/>
      <c r="AG8" t="s">
        <v>223</v>
      </c>
      <c r="AN8" t="s">
        <v>218</v>
      </c>
      <c r="AO8" t="s">
        <v>224</v>
      </c>
      <c r="AP8" t="s">
        <v>225</v>
      </c>
      <c r="AQ8">
        <v>0.13</v>
      </c>
      <c r="AR8" t="s">
        <v>226</v>
      </c>
    </row>
    <row r="9" hidden="1" spans="1:44">
      <c r="A9" t="s">
        <v>105</v>
      </c>
      <c r="B9" t="s">
        <v>36</v>
      </c>
      <c r="C9" s="209" t="s">
        <v>37</v>
      </c>
      <c r="D9" s="210">
        <v>71020121051443</v>
      </c>
      <c r="E9" s="211">
        <v>44347</v>
      </c>
      <c r="F9" t="s">
        <v>218</v>
      </c>
      <c r="G9" t="s">
        <v>219</v>
      </c>
      <c r="H9">
        <v>7</v>
      </c>
      <c r="I9" t="s">
        <v>124</v>
      </c>
      <c r="J9" t="s">
        <v>228</v>
      </c>
      <c r="K9" t="s">
        <v>221</v>
      </c>
      <c r="L9">
        <v>6200</v>
      </c>
      <c r="M9" s="211">
        <v>44411</v>
      </c>
      <c r="N9" s="211">
        <v>44411</v>
      </c>
      <c r="O9" s="212" t="s">
        <v>227</v>
      </c>
      <c r="P9" t="s">
        <v>222</v>
      </c>
      <c r="S9">
        <v>0</v>
      </c>
      <c r="T9">
        <v>0</v>
      </c>
      <c r="U9">
        <v>0</v>
      </c>
      <c r="V9">
        <v>0</v>
      </c>
      <c r="W9">
        <v>0</v>
      </c>
      <c r="X9" s="140">
        <v>6200</v>
      </c>
      <c r="Y9" s="209">
        <f t="shared" si="0"/>
        <v>6200</v>
      </c>
      <c r="Z9">
        <v>0</v>
      </c>
      <c r="AE9"/>
      <c r="AF9"/>
      <c r="AG9" t="s">
        <v>223</v>
      </c>
      <c r="AN9" t="s">
        <v>218</v>
      </c>
      <c r="AO9" t="s">
        <v>224</v>
      </c>
      <c r="AP9" t="s">
        <v>225</v>
      </c>
      <c r="AQ9">
        <v>0.13</v>
      </c>
      <c r="AR9" t="s">
        <v>226</v>
      </c>
    </row>
    <row r="10" hidden="1" spans="1:44">
      <c r="A10" t="s">
        <v>105</v>
      </c>
      <c r="B10" t="s">
        <v>36</v>
      </c>
      <c r="C10" s="209" t="s">
        <v>37</v>
      </c>
      <c r="D10" s="210">
        <v>71020121051443</v>
      </c>
      <c r="E10" s="211">
        <v>44347</v>
      </c>
      <c r="F10" t="s">
        <v>218</v>
      </c>
      <c r="G10" t="s">
        <v>219</v>
      </c>
      <c r="H10">
        <v>8</v>
      </c>
      <c r="I10" t="s">
        <v>124</v>
      </c>
      <c r="J10" t="s">
        <v>228</v>
      </c>
      <c r="K10" t="s">
        <v>221</v>
      </c>
      <c r="L10">
        <v>6200</v>
      </c>
      <c r="M10" s="211">
        <v>44403</v>
      </c>
      <c r="N10" s="211">
        <v>44403</v>
      </c>
      <c r="O10" s="212" t="s">
        <v>60</v>
      </c>
      <c r="P10" t="s">
        <v>222</v>
      </c>
      <c r="S10">
        <v>0</v>
      </c>
      <c r="T10">
        <v>0</v>
      </c>
      <c r="U10">
        <v>0</v>
      </c>
      <c r="V10">
        <v>0</v>
      </c>
      <c r="W10">
        <v>0</v>
      </c>
      <c r="X10" s="140">
        <v>6200</v>
      </c>
      <c r="Y10" s="209">
        <f t="shared" si="0"/>
        <v>6200</v>
      </c>
      <c r="Z10">
        <v>0</v>
      </c>
      <c r="AE10"/>
      <c r="AF10"/>
      <c r="AG10" t="s">
        <v>223</v>
      </c>
      <c r="AN10" t="s">
        <v>218</v>
      </c>
      <c r="AO10" t="s">
        <v>224</v>
      </c>
      <c r="AP10" t="s">
        <v>225</v>
      </c>
      <c r="AQ10">
        <v>0.13</v>
      </c>
      <c r="AR10" t="s">
        <v>226</v>
      </c>
    </row>
    <row r="11" hidden="1" spans="1:44">
      <c r="A11" t="s">
        <v>105</v>
      </c>
      <c r="B11" t="s">
        <v>36</v>
      </c>
      <c r="C11" s="209" t="s">
        <v>37</v>
      </c>
      <c r="D11" s="210">
        <v>71020121051443</v>
      </c>
      <c r="E11" s="211">
        <v>44347</v>
      </c>
      <c r="F11" t="s">
        <v>218</v>
      </c>
      <c r="G11" t="s">
        <v>219</v>
      </c>
      <c r="H11">
        <v>9</v>
      </c>
      <c r="I11" t="s">
        <v>129</v>
      </c>
      <c r="J11" t="s">
        <v>229</v>
      </c>
      <c r="K11" t="s">
        <v>221</v>
      </c>
      <c r="L11">
        <v>3000</v>
      </c>
      <c r="M11" s="211">
        <v>44404</v>
      </c>
      <c r="N11" s="211">
        <v>44404</v>
      </c>
      <c r="O11" s="212" t="s">
        <v>60</v>
      </c>
      <c r="P11" t="s">
        <v>222</v>
      </c>
      <c r="S11">
        <v>0</v>
      </c>
      <c r="T11">
        <v>0</v>
      </c>
      <c r="U11">
        <v>0</v>
      </c>
      <c r="V11">
        <v>0</v>
      </c>
      <c r="W11">
        <v>0</v>
      </c>
      <c r="X11" s="140">
        <v>3000</v>
      </c>
      <c r="Y11" s="209">
        <f t="shared" si="0"/>
        <v>3000</v>
      </c>
      <c r="Z11">
        <v>0</v>
      </c>
      <c r="AE11"/>
      <c r="AF11"/>
      <c r="AG11" t="s">
        <v>223</v>
      </c>
      <c r="AN11" t="s">
        <v>218</v>
      </c>
      <c r="AO11" t="s">
        <v>224</v>
      </c>
      <c r="AP11" t="s">
        <v>225</v>
      </c>
      <c r="AQ11">
        <v>0.13</v>
      </c>
      <c r="AR11" t="s">
        <v>226</v>
      </c>
    </row>
    <row r="12" hidden="1" spans="1:44">
      <c r="A12" t="s">
        <v>105</v>
      </c>
      <c r="B12" t="s">
        <v>36</v>
      </c>
      <c r="C12" s="209" t="s">
        <v>37</v>
      </c>
      <c r="D12" s="210">
        <v>71020121051443</v>
      </c>
      <c r="E12" s="211">
        <v>44347</v>
      </c>
      <c r="F12" t="s">
        <v>218</v>
      </c>
      <c r="G12" t="s">
        <v>219</v>
      </c>
      <c r="H12">
        <v>10</v>
      </c>
      <c r="I12" t="s">
        <v>129</v>
      </c>
      <c r="J12" t="s">
        <v>229</v>
      </c>
      <c r="K12" t="s">
        <v>221</v>
      </c>
      <c r="L12">
        <v>4000</v>
      </c>
      <c r="M12" s="211">
        <v>44403</v>
      </c>
      <c r="N12" s="211">
        <v>44403</v>
      </c>
      <c r="O12" s="212" t="s">
        <v>60</v>
      </c>
      <c r="P12" t="s">
        <v>222</v>
      </c>
      <c r="S12">
        <v>0</v>
      </c>
      <c r="T12">
        <v>0</v>
      </c>
      <c r="U12">
        <v>0</v>
      </c>
      <c r="V12">
        <v>0</v>
      </c>
      <c r="W12">
        <v>0</v>
      </c>
      <c r="X12" s="140">
        <v>4000</v>
      </c>
      <c r="Y12" s="209">
        <f t="shared" si="0"/>
        <v>4000</v>
      </c>
      <c r="Z12">
        <v>0</v>
      </c>
      <c r="AE12"/>
      <c r="AF12"/>
      <c r="AG12" t="s">
        <v>223</v>
      </c>
      <c r="AN12" t="s">
        <v>218</v>
      </c>
      <c r="AO12" t="s">
        <v>224</v>
      </c>
      <c r="AP12" t="s">
        <v>225</v>
      </c>
      <c r="AQ12">
        <v>0.13</v>
      </c>
      <c r="AR12" t="s">
        <v>226</v>
      </c>
    </row>
    <row r="13" hidden="1" spans="1:44">
      <c r="A13" t="s">
        <v>105</v>
      </c>
      <c r="B13" t="s">
        <v>36</v>
      </c>
      <c r="C13" s="209" t="s">
        <v>37</v>
      </c>
      <c r="D13" s="210">
        <v>71020121051443</v>
      </c>
      <c r="E13" s="211">
        <v>44347</v>
      </c>
      <c r="F13" t="s">
        <v>218</v>
      </c>
      <c r="G13" t="s">
        <v>219</v>
      </c>
      <c r="H13">
        <v>11</v>
      </c>
      <c r="I13" t="s">
        <v>129</v>
      </c>
      <c r="J13" t="s">
        <v>229</v>
      </c>
      <c r="K13" t="s">
        <v>221</v>
      </c>
      <c r="L13">
        <v>4000</v>
      </c>
      <c r="M13" s="211">
        <v>44402</v>
      </c>
      <c r="N13" s="211">
        <v>44402</v>
      </c>
      <c r="O13" s="212" t="s">
        <v>60</v>
      </c>
      <c r="P13" t="s">
        <v>222</v>
      </c>
      <c r="S13">
        <v>0</v>
      </c>
      <c r="T13">
        <v>0</v>
      </c>
      <c r="U13">
        <v>0</v>
      </c>
      <c r="V13">
        <v>0</v>
      </c>
      <c r="W13">
        <v>0</v>
      </c>
      <c r="X13" s="140">
        <v>4000</v>
      </c>
      <c r="Y13" s="209">
        <f t="shared" si="0"/>
        <v>4000</v>
      </c>
      <c r="Z13">
        <v>0</v>
      </c>
      <c r="AE13"/>
      <c r="AF13"/>
      <c r="AG13" t="s">
        <v>223</v>
      </c>
      <c r="AN13" t="s">
        <v>218</v>
      </c>
      <c r="AO13" t="s">
        <v>224</v>
      </c>
      <c r="AP13" t="s">
        <v>225</v>
      </c>
      <c r="AQ13">
        <v>0.13</v>
      </c>
      <c r="AR13" t="s">
        <v>226</v>
      </c>
    </row>
    <row r="14" hidden="1" spans="1:44">
      <c r="A14" t="s">
        <v>105</v>
      </c>
      <c r="B14" t="s">
        <v>36</v>
      </c>
      <c r="C14" s="209" t="s">
        <v>37</v>
      </c>
      <c r="D14" s="210">
        <v>71020121051443</v>
      </c>
      <c r="E14" s="211">
        <v>44347</v>
      </c>
      <c r="F14" t="s">
        <v>218</v>
      </c>
      <c r="G14" t="s">
        <v>219</v>
      </c>
      <c r="H14">
        <v>12</v>
      </c>
      <c r="I14" t="s">
        <v>129</v>
      </c>
      <c r="J14" t="s">
        <v>229</v>
      </c>
      <c r="K14" t="s">
        <v>221</v>
      </c>
      <c r="L14">
        <v>4000</v>
      </c>
      <c r="M14" s="211">
        <v>44401</v>
      </c>
      <c r="N14" s="211">
        <v>44401</v>
      </c>
      <c r="O14" s="212" t="s">
        <v>60</v>
      </c>
      <c r="P14" t="s">
        <v>222</v>
      </c>
      <c r="S14">
        <v>0</v>
      </c>
      <c r="T14">
        <v>0</v>
      </c>
      <c r="U14">
        <v>0</v>
      </c>
      <c r="V14">
        <v>0</v>
      </c>
      <c r="W14">
        <v>0</v>
      </c>
      <c r="X14" s="140">
        <v>4000</v>
      </c>
      <c r="Y14" s="209">
        <f t="shared" si="0"/>
        <v>4000</v>
      </c>
      <c r="Z14">
        <v>0</v>
      </c>
      <c r="AE14"/>
      <c r="AF14"/>
      <c r="AG14" t="s">
        <v>223</v>
      </c>
      <c r="AN14" t="s">
        <v>218</v>
      </c>
      <c r="AO14" t="s">
        <v>224</v>
      </c>
      <c r="AP14" t="s">
        <v>225</v>
      </c>
      <c r="AQ14">
        <v>0.13</v>
      </c>
      <c r="AR14" t="s">
        <v>226</v>
      </c>
    </row>
    <row r="15" hidden="1" spans="1:44">
      <c r="A15" t="s">
        <v>105</v>
      </c>
      <c r="B15" t="s">
        <v>36</v>
      </c>
      <c r="C15" s="209" t="s">
        <v>37</v>
      </c>
      <c r="D15" s="210">
        <v>71020121051443</v>
      </c>
      <c r="E15" s="211">
        <v>44347</v>
      </c>
      <c r="F15" t="s">
        <v>218</v>
      </c>
      <c r="G15" t="s">
        <v>219</v>
      </c>
      <c r="H15">
        <v>13</v>
      </c>
      <c r="I15" t="s">
        <v>129</v>
      </c>
      <c r="J15" t="s">
        <v>229</v>
      </c>
      <c r="K15" t="s">
        <v>221</v>
      </c>
      <c r="L15">
        <v>4000</v>
      </c>
      <c r="M15" s="211">
        <v>44400</v>
      </c>
      <c r="N15" s="211">
        <v>44400</v>
      </c>
      <c r="O15" s="212" t="s">
        <v>60</v>
      </c>
      <c r="P15" t="s">
        <v>222</v>
      </c>
      <c r="S15">
        <v>0</v>
      </c>
      <c r="T15">
        <v>0</v>
      </c>
      <c r="U15">
        <v>0</v>
      </c>
      <c r="V15">
        <v>0</v>
      </c>
      <c r="W15">
        <v>0</v>
      </c>
      <c r="X15" s="140">
        <v>4000</v>
      </c>
      <c r="Y15" s="209">
        <f t="shared" si="0"/>
        <v>4000</v>
      </c>
      <c r="Z15">
        <v>0</v>
      </c>
      <c r="AE15"/>
      <c r="AF15"/>
      <c r="AG15" t="s">
        <v>223</v>
      </c>
      <c r="AN15" t="s">
        <v>218</v>
      </c>
      <c r="AO15" t="s">
        <v>224</v>
      </c>
      <c r="AP15" t="s">
        <v>225</v>
      </c>
      <c r="AQ15">
        <v>0.13</v>
      </c>
      <c r="AR15" t="s">
        <v>226</v>
      </c>
    </row>
    <row r="16" hidden="1" spans="1:44">
      <c r="A16" t="s">
        <v>105</v>
      </c>
      <c r="B16" t="s">
        <v>36</v>
      </c>
      <c r="C16" s="209" t="s">
        <v>37</v>
      </c>
      <c r="D16" s="210">
        <v>71020121051443</v>
      </c>
      <c r="E16" s="211">
        <v>44347</v>
      </c>
      <c r="F16" t="s">
        <v>218</v>
      </c>
      <c r="G16" t="s">
        <v>219</v>
      </c>
      <c r="H16">
        <v>14</v>
      </c>
      <c r="I16" t="s">
        <v>129</v>
      </c>
      <c r="J16" t="s">
        <v>229</v>
      </c>
      <c r="K16" t="s">
        <v>221</v>
      </c>
      <c r="L16">
        <v>4000</v>
      </c>
      <c r="M16" s="211">
        <v>44399</v>
      </c>
      <c r="N16" s="211">
        <v>44399</v>
      </c>
      <c r="O16" s="212" t="s">
        <v>60</v>
      </c>
      <c r="P16" t="s">
        <v>222</v>
      </c>
      <c r="S16">
        <v>0</v>
      </c>
      <c r="T16">
        <v>0</v>
      </c>
      <c r="U16">
        <v>0</v>
      </c>
      <c r="V16">
        <v>0</v>
      </c>
      <c r="W16">
        <v>0</v>
      </c>
      <c r="X16" s="140">
        <v>4000</v>
      </c>
      <c r="Y16" s="209">
        <f t="shared" si="0"/>
        <v>4000</v>
      </c>
      <c r="Z16">
        <v>0</v>
      </c>
      <c r="AE16"/>
      <c r="AF16"/>
      <c r="AG16" t="s">
        <v>223</v>
      </c>
      <c r="AN16" t="s">
        <v>218</v>
      </c>
      <c r="AO16" t="s">
        <v>224</v>
      </c>
      <c r="AP16" t="s">
        <v>225</v>
      </c>
      <c r="AQ16">
        <v>0.13</v>
      </c>
      <c r="AR16" t="s">
        <v>226</v>
      </c>
    </row>
    <row r="17" hidden="1" spans="1:44">
      <c r="A17" t="s">
        <v>105</v>
      </c>
      <c r="B17" t="s">
        <v>36</v>
      </c>
      <c r="C17" s="209" t="s">
        <v>37</v>
      </c>
      <c r="D17" s="210">
        <v>71020121051443</v>
      </c>
      <c r="E17" s="211">
        <v>44347</v>
      </c>
      <c r="F17" t="s">
        <v>218</v>
      </c>
      <c r="G17" t="s">
        <v>219</v>
      </c>
      <c r="H17">
        <v>15</v>
      </c>
      <c r="I17" t="s">
        <v>137</v>
      </c>
      <c r="J17" t="s">
        <v>220</v>
      </c>
      <c r="K17" t="s">
        <v>221</v>
      </c>
      <c r="L17">
        <v>1800</v>
      </c>
      <c r="M17" s="211">
        <v>44393</v>
      </c>
      <c r="N17" s="211">
        <v>44393</v>
      </c>
      <c r="O17" s="212" t="s">
        <v>60</v>
      </c>
      <c r="P17" t="s">
        <v>222</v>
      </c>
      <c r="S17">
        <v>0</v>
      </c>
      <c r="T17">
        <v>0</v>
      </c>
      <c r="U17">
        <v>0</v>
      </c>
      <c r="V17">
        <v>0</v>
      </c>
      <c r="W17">
        <v>0</v>
      </c>
      <c r="X17" s="140">
        <v>1800</v>
      </c>
      <c r="Y17" s="209">
        <f t="shared" si="0"/>
        <v>1800</v>
      </c>
      <c r="Z17">
        <v>0</v>
      </c>
      <c r="AE17"/>
      <c r="AF17"/>
      <c r="AG17" t="s">
        <v>223</v>
      </c>
      <c r="AN17" t="s">
        <v>218</v>
      </c>
      <c r="AO17" t="s">
        <v>224</v>
      </c>
      <c r="AP17" t="s">
        <v>225</v>
      </c>
      <c r="AQ17">
        <v>0.13</v>
      </c>
      <c r="AR17" t="s">
        <v>226</v>
      </c>
    </row>
    <row r="18" hidden="1" spans="1:44">
      <c r="A18" t="s">
        <v>105</v>
      </c>
      <c r="B18" t="s">
        <v>36</v>
      </c>
      <c r="C18" s="209" t="s">
        <v>37</v>
      </c>
      <c r="D18" s="210">
        <v>71020121051443</v>
      </c>
      <c r="E18" s="211">
        <v>44347</v>
      </c>
      <c r="F18" t="s">
        <v>218</v>
      </c>
      <c r="G18" t="s">
        <v>219</v>
      </c>
      <c r="H18">
        <v>16</v>
      </c>
      <c r="I18" t="s">
        <v>135</v>
      </c>
      <c r="J18" t="s">
        <v>220</v>
      </c>
      <c r="K18" t="s">
        <v>221</v>
      </c>
      <c r="L18">
        <v>3000</v>
      </c>
      <c r="M18" s="211">
        <v>44393</v>
      </c>
      <c r="N18" s="211">
        <v>44393</v>
      </c>
      <c r="O18" s="212" t="s">
        <v>60</v>
      </c>
      <c r="P18" t="s">
        <v>222</v>
      </c>
      <c r="S18">
        <v>0</v>
      </c>
      <c r="T18">
        <v>0</v>
      </c>
      <c r="U18">
        <v>0</v>
      </c>
      <c r="V18">
        <v>0</v>
      </c>
      <c r="W18">
        <v>0</v>
      </c>
      <c r="X18" s="140">
        <v>3000</v>
      </c>
      <c r="Y18" s="209">
        <f t="shared" si="0"/>
        <v>3000</v>
      </c>
      <c r="Z18">
        <v>0</v>
      </c>
      <c r="AE18"/>
      <c r="AF18"/>
      <c r="AG18" t="s">
        <v>223</v>
      </c>
      <c r="AN18" t="s">
        <v>218</v>
      </c>
      <c r="AO18" t="s">
        <v>224</v>
      </c>
      <c r="AP18" t="s">
        <v>225</v>
      </c>
      <c r="AQ18">
        <v>0.13</v>
      </c>
      <c r="AR18" t="s">
        <v>226</v>
      </c>
    </row>
    <row r="19" hidden="1" spans="1:44">
      <c r="A19" t="s">
        <v>105</v>
      </c>
      <c r="B19" t="s">
        <v>36</v>
      </c>
      <c r="C19" s="209" t="s">
        <v>37</v>
      </c>
      <c r="D19" s="210">
        <v>71020121051443</v>
      </c>
      <c r="E19" s="211">
        <v>44347</v>
      </c>
      <c r="F19" t="s">
        <v>218</v>
      </c>
      <c r="G19" t="s">
        <v>219</v>
      </c>
      <c r="H19">
        <v>17</v>
      </c>
      <c r="I19" t="s">
        <v>138</v>
      </c>
      <c r="J19" t="s">
        <v>220</v>
      </c>
      <c r="K19" t="s">
        <v>221</v>
      </c>
      <c r="L19">
        <v>2200</v>
      </c>
      <c r="M19" s="211">
        <v>44387</v>
      </c>
      <c r="N19" s="211">
        <v>44387</v>
      </c>
      <c r="O19" s="212" t="s">
        <v>60</v>
      </c>
      <c r="P19" t="s">
        <v>222</v>
      </c>
      <c r="S19">
        <v>0</v>
      </c>
      <c r="T19">
        <v>0</v>
      </c>
      <c r="U19">
        <v>0</v>
      </c>
      <c r="V19">
        <v>0</v>
      </c>
      <c r="W19">
        <v>0</v>
      </c>
      <c r="X19" s="140">
        <v>2200</v>
      </c>
      <c r="Y19" s="209">
        <f t="shared" si="0"/>
        <v>2200</v>
      </c>
      <c r="Z19">
        <v>0</v>
      </c>
      <c r="AE19"/>
      <c r="AF19"/>
      <c r="AG19" t="s">
        <v>223</v>
      </c>
      <c r="AN19" t="s">
        <v>218</v>
      </c>
      <c r="AO19" t="s">
        <v>224</v>
      </c>
      <c r="AP19" t="s">
        <v>225</v>
      </c>
      <c r="AQ19">
        <v>0.13</v>
      </c>
      <c r="AR19" t="s">
        <v>226</v>
      </c>
    </row>
    <row r="20" hidden="1" spans="1:44">
      <c r="A20" t="s">
        <v>105</v>
      </c>
      <c r="B20" t="s">
        <v>36</v>
      </c>
      <c r="C20" s="209" t="s">
        <v>37</v>
      </c>
      <c r="D20" s="210">
        <v>71020121051443</v>
      </c>
      <c r="E20" s="211">
        <v>44347</v>
      </c>
      <c r="F20" t="s">
        <v>218</v>
      </c>
      <c r="G20" t="s">
        <v>219</v>
      </c>
      <c r="H20">
        <v>21</v>
      </c>
      <c r="I20" t="s">
        <v>124</v>
      </c>
      <c r="J20" t="s">
        <v>228</v>
      </c>
      <c r="K20" t="s">
        <v>221</v>
      </c>
      <c r="L20">
        <v>5800</v>
      </c>
      <c r="M20" s="211">
        <v>44397</v>
      </c>
      <c r="N20" s="211">
        <v>44397</v>
      </c>
      <c r="O20" s="212" t="s">
        <v>60</v>
      </c>
      <c r="P20" t="s">
        <v>222</v>
      </c>
      <c r="S20">
        <v>0</v>
      </c>
      <c r="T20">
        <v>0</v>
      </c>
      <c r="U20">
        <v>0</v>
      </c>
      <c r="V20">
        <v>0</v>
      </c>
      <c r="W20">
        <v>0</v>
      </c>
      <c r="X20" s="140">
        <v>5800</v>
      </c>
      <c r="Y20" s="209">
        <f t="shared" si="0"/>
        <v>5800</v>
      </c>
      <c r="Z20">
        <v>0</v>
      </c>
      <c r="AE20"/>
      <c r="AF20"/>
      <c r="AG20" t="s">
        <v>223</v>
      </c>
      <c r="AN20" t="s">
        <v>218</v>
      </c>
      <c r="AO20" t="s">
        <v>224</v>
      </c>
      <c r="AP20" t="s">
        <v>225</v>
      </c>
      <c r="AQ20">
        <v>0.13</v>
      </c>
      <c r="AR20" t="s">
        <v>226</v>
      </c>
    </row>
    <row r="21" hidden="1" spans="1:44">
      <c r="A21" t="s">
        <v>105</v>
      </c>
      <c r="B21" t="s">
        <v>36</v>
      </c>
      <c r="C21" s="209" t="s">
        <v>37</v>
      </c>
      <c r="D21" s="210">
        <v>71020121051443</v>
      </c>
      <c r="E21" s="211">
        <v>44347</v>
      </c>
      <c r="F21" t="s">
        <v>218</v>
      </c>
      <c r="G21" t="s">
        <v>219</v>
      </c>
      <c r="H21">
        <v>28</v>
      </c>
      <c r="I21" t="s">
        <v>129</v>
      </c>
      <c r="J21" t="s">
        <v>229</v>
      </c>
      <c r="K21" t="s">
        <v>221</v>
      </c>
      <c r="L21">
        <v>6000</v>
      </c>
      <c r="M21" s="211">
        <v>44395</v>
      </c>
      <c r="N21" s="211">
        <v>44395</v>
      </c>
      <c r="O21" s="212" t="s">
        <v>60</v>
      </c>
      <c r="P21" t="s">
        <v>222</v>
      </c>
      <c r="S21">
        <v>0</v>
      </c>
      <c r="T21">
        <v>0</v>
      </c>
      <c r="U21">
        <v>0</v>
      </c>
      <c r="V21">
        <v>0</v>
      </c>
      <c r="W21">
        <v>0</v>
      </c>
      <c r="X21" s="140">
        <v>6000</v>
      </c>
      <c r="Y21" s="209">
        <f t="shared" si="0"/>
        <v>6000</v>
      </c>
      <c r="Z21">
        <v>0</v>
      </c>
      <c r="AE21"/>
      <c r="AF21"/>
      <c r="AG21" t="s">
        <v>223</v>
      </c>
      <c r="AN21" t="s">
        <v>218</v>
      </c>
      <c r="AO21" t="s">
        <v>224</v>
      </c>
      <c r="AP21" t="s">
        <v>225</v>
      </c>
      <c r="AQ21">
        <v>0.13</v>
      </c>
      <c r="AR21" t="s">
        <v>226</v>
      </c>
    </row>
    <row r="22" hidden="1" spans="1:44">
      <c r="A22" t="s">
        <v>105</v>
      </c>
      <c r="B22" t="s">
        <v>36</v>
      </c>
      <c r="C22" s="209" t="s">
        <v>37</v>
      </c>
      <c r="D22" s="210">
        <v>71020121051443</v>
      </c>
      <c r="E22" s="211">
        <v>44347</v>
      </c>
      <c r="F22" t="s">
        <v>218</v>
      </c>
      <c r="G22" t="s">
        <v>219</v>
      </c>
      <c r="H22">
        <v>29</v>
      </c>
      <c r="I22" t="s">
        <v>131</v>
      </c>
      <c r="J22" t="s">
        <v>220</v>
      </c>
      <c r="K22" t="s">
        <v>221</v>
      </c>
      <c r="L22">
        <v>4300</v>
      </c>
      <c r="M22" s="211">
        <v>44397</v>
      </c>
      <c r="N22" s="211">
        <v>44397</v>
      </c>
      <c r="O22" s="212" t="s">
        <v>60</v>
      </c>
      <c r="P22" t="s">
        <v>222</v>
      </c>
      <c r="S22">
        <v>0</v>
      </c>
      <c r="T22">
        <v>0</v>
      </c>
      <c r="U22">
        <v>0</v>
      </c>
      <c r="V22">
        <v>0</v>
      </c>
      <c r="W22">
        <v>0</v>
      </c>
      <c r="X22" s="140">
        <v>4300</v>
      </c>
      <c r="Y22" s="209">
        <f t="shared" si="0"/>
        <v>4300</v>
      </c>
      <c r="Z22">
        <v>0</v>
      </c>
      <c r="AE22"/>
      <c r="AF22"/>
      <c r="AG22" t="s">
        <v>223</v>
      </c>
      <c r="AN22" t="s">
        <v>218</v>
      </c>
      <c r="AO22" t="s">
        <v>224</v>
      </c>
      <c r="AP22" t="s">
        <v>225</v>
      </c>
      <c r="AQ22">
        <v>0.13</v>
      </c>
      <c r="AR22" t="s">
        <v>226</v>
      </c>
    </row>
    <row r="23" hidden="1" spans="1:44">
      <c r="A23" t="s">
        <v>105</v>
      </c>
      <c r="B23" t="s">
        <v>36</v>
      </c>
      <c r="C23" s="209" t="s">
        <v>37</v>
      </c>
      <c r="D23" s="210">
        <v>71020121051443</v>
      </c>
      <c r="E23" s="211">
        <v>44347</v>
      </c>
      <c r="F23" t="s">
        <v>218</v>
      </c>
      <c r="G23" t="s">
        <v>219</v>
      </c>
      <c r="H23">
        <v>30</v>
      </c>
      <c r="I23" t="s">
        <v>131</v>
      </c>
      <c r="J23" t="s">
        <v>220</v>
      </c>
      <c r="K23" t="s">
        <v>221</v>
      </c>
      <c r="L23">
        <v>4600</v>
      </c>
      <c r="M23" s="211">
        <v>44390</v>
      </c>
      <c r="N23" s="211">
        <v>44390</v>
      </c>
      <c r="O23" s="212" t="s">
        <v>60</v>
      </c>
      <c r="P23" t="s">
        <v>222</v>
      </c>
      <c r="S23">
        <v>0</v>
      </c>
      <c r="T23">
        <v>0</v>
      </c>
      <c r="U23">
        <v>0</v>
      </c>
      <c r="V23">
        <v>0</v>
      </c>
      <c r="W23">
        <v>0</v>
      </c>
      <c r="X23" s="140">
        <v>4600</v>
      </c>
      <c r="Y23" s="209">
        <f t="shared" si="0"/>
        <v>4600</v>
      </c>
      <c r="Z23">
        <v>0</v>
      </c>
      <c r="AE23"/>
      <c r="AF23"/>
      <c r="AG23" t="s">
        <v>223</v>
      </c>
      <c r="AN23" t="s">
        <v>218</v>
      </c>
      <c r="AO23" t="s">
        <v>224</v>
      </c>
      <c r="AP23" t="s">
        <v>225</v>
      </c>
      <c r="AQ23">
        <v>0.13</v>
      </c>
      <c r="AR23" t="s">
        <v>226</v>
      </c>
    </row>
    <row r="24" hidden="1" spans="1:44">
      <c r="A24" t="s">
        <v>105</v>
      </c>
      <c r="B24" t="s">
        <v>36</v>
      </c>
      <c r="C24" s="209" t="s">
        <v>37</v>
      </c>
      <c r="D24" s="210">
        <v>71020121051443</v>
      </c>
      <c r="E24" s="211">
        <v>44347</v>
      </c>
      <c r="F24" t="s">
        <v>218</v>
      </c>
      <c r="G24" t="s">
        <v>219</v>
      </c>
      <c r="H24">
        <v>31</v>
      </c>
      <c r="I24" t="s">
        <v>130</v>
      </c>
      <c r="J24" t="s">
        <v>229</v>
      </c>
      <c r="K24" t="s">
        <v>221</v>
      </c>
      <c r="L24">
        <v>2400</v>
      </c>
      <c r="M24" s="211">
        <v>44395</v>
      </c>
      <c r="N24" s="211">
        <v>44395</v>
      </c>
      <c r="O24" s="212" t="s">
        <v>60</v>
      </c>
      <c r="P24" t="s">
        <v>222</v>
      </c>
      <c r="S24">
        <v>0</v>
      </c>
      <c r="T24">
        <v>0</v>
      </c>
      <c r="U24">
        <v>0</v>
      </c>
      <c r="V24">
        <v>0</v>
      </c>
      <c r="W24">
        <v>0</v>
      </c>
      <c r="X24" s="140">
        <v>2400</v>
      </c>
      <c r="Y24" s="209">
        <f t="shared" si="0"/>
        <v>2400</v>
      </c>
      <c r="Z24">
        <v>0</v>
      </c>
      <c r="AE24"/>
      <c r="AF24"/>
      <c r="AG24" t="s">
        <v>223</v>
      </c>
      <c r="AN24" t="s">
        <v>218</v>
      </c>
      <c r="AO24" t="s">
        <v>224</v>
      </c>
      <c r="AP24" t="s">
        <v>225</v>
      </c>
      <c r="AQ24">
        <v>0.13</v>
      </c>
      <c r="AR24" t="s">
        <v>226</v>
      </c>
    </row>
    <row r="25" hidden="1" spans="1:44">
      <c r="A25" t="s">
        <v>105</v>
      </c>
      <c r="B25" t="s">
        <v>36</v>
      </c>
      <c r="C25" s="209" t="s">
        <v>37</v>
      </c>
      <c r="D25" s="210">
        <v>71020121051443</v>
      </c>
      <c r="E25" s="211">
        <v>44347</v>
      </c>
      <c r="F25" t="s">
        <v>218</v>
      </c>
      <c r="G25" t="s">
        <v>219</v>
      </c>
      <c r="H25">
        <v>37</v>
      </c>
      <c r="I25" t="s">
        <v>138</v>
      </c>
      <c r="J25" t="s">
        <v>220</v>
      </c>
      <c r="K25" t="s">
        <v>221</v>
      </c>
      <c r="L25">
        <v>1000</v>
      </c>
      <c r="M25" s="211">
        <v>44428</v>
      </c>
      <c r="N25" s="211">
        <v>44428</v>
      </c>
      <c r="O25" s="212" t="s">
        <v>227</v>
      </c>
      <c r="P25" t="s">
        <v>222</v>
      </c>
      <c r="S25">
        <v>0</v>
      </c>
      <c r="T25">
        <v>0</v>
      </c>
      <c r="U25">
        <v>0</v>
      </c>
      <c r="V25">
        <v>0</v>
      </c>
      <c r="W25">
        <v>0</v>
      </c>
      <c r="X25" s="140">
        <v>1000</v>
      </c>
      <c r="Y25" s="209">
        <f t="shared" si="0"/>
        <v>1000</v>
      </c>
      <c r="Z25">
        <v>0</v>
      </c>
      <c r="AE25"/>
      <c r="AF25"/>
      <c r="AG25" t="s">
        <v>223</v>
      </c>
      <c r="AN25" t="s">
        <v>218</v>
      </c>
      <c r="AO25" t="s">
        <v>224</v>
      </c>
      <c r="AP25" t="s">
        <v>225</v>
      </c>
      <c r="AQ25">
        <v>0.13</v>
      </c>
      <c r="AR25" t="s">
        <v>226</v>
      </c>
    </row>
    <row r="26" hidden="1" spans="1:44">
      <c r="A26" t="s">
        <v>105</v>
      </c>
      <c r="B26" t="s">
        <v>36</v>
      </c>
      <c r="C26" s="209" t="s">
        <v>37</v>
      </c>
      <c r="D26" s="210">
        <v>71020121051443</v>
      </c>
      <c r="E26" s="211">
        <v>44347</v>
      </c>
      <c r="F26" t="s">
        <v>218</v>
      </c>
      <c r="G26" t="s">
        <v>219</v>
      </c>
      <c r="H26">
        <v>38</v>
      </c>
      <c r="I26" t="s">
        <v>138</v>
      </c>
      <c r="J26" t="s">
        <v>220</v>
      </c>
      <c r="K26" t="s">
        <v>221</v>
      </c>
      <c r="L26">
        <v>2100</v>
      </c>
      <c r="M26" s="211">
        <v>44422</v>
      </c>
      <c r="N26" s="211">
        <v>44422</v>
      </c>
      <c r="O26" s="212" t="s">
        <v>227</v>
      </c>
      <c r="P26" t="s">
        <v>222</v>
      </c>
      <c r="S26">
        <v>0</v>
      </c>
      <c r="T26">
        <v>0</v>
      </c>
      <c r="U26">
        <v>0</v>
      </c>
      <c r="V26">
        <v>0</v>
      </c>
      <c r="W26">
        <v>0</v>
      </c>
      <c r="X26" s="140">
        <v>2100</v>
      </c>
      <c r="Y26" s="209">
        <f t="shared" si="0"/>
        <v>2100</v>
      </c>
      <c r="Z26">
        <v>0</v>
      </c>
      <c r="AE26"/>
      <c r="AF26"/>
      <c r="AG26" t="s">
        <v>223</v>
      </c>
      <c r="AN26" t="s">
        <v>218</v>
      </c>
      <c r="AO26" t="s">
        <v>224</v>
      </c>
      <c r="AP26" t="s">
        <v>225</v>
      </c>
      <c r="AQ26">
        <v>0.13</v>
      </c>
      <c r="AR26" t="s">
        <v>226</v>
      </c>
    </row>
    <row r="27" hidden="1" spans="1:44">
      <c r="A27" t="s">
        <v>105</v>
      </c>
      <c r="B27" t="s">
        <v>36</v>
      </c>
      <c r="C27" s="209" t="s">
        <v>37</v>
      </c>
      <c r="D27" s="210">
        <v>71020121051443</v>
      </c>
      <c r="E27" s="211">
        <v>44347</v>
      </c>
      <c r="F27" t="s">
        <v>218</v>
      </c>
      <c r="G27" t="s">
        <v>219</v>
      </c>
      <c r="H27">
        <v>39</v>
      </c>
      <c r="I27" t="s">
        <v>137</v>
      </c>
      <c r="J27" t="s">
        <v>220</v>
      </c>
      <c r="K27" t="s">
        <v>221</v>
      </c>
      <c r="L27">
        <v>5300</v>
      </c>
      <c r="M27" s="211">
        <v>44422</v>
      </c>
      <c r="N27" s="211">
        <v>44422</v>
      </c>
      <c r="O27" s="212" t="s">
        <v>227</v>
      </c>
      <c r="P27" t="s">
        <v>222</v>
      </c>
      <c r="S27">
        <v>0</v>
      </c>
      <c r="T27">
        <v>0</v>
      </c>
      <c r="U27">
        <v>0</v>
      </c>
      <c r="V27">
        <v>0</v>
      </c>
      <c r="W27">
        <v>0</v>
      </c>
      <c r="X27" s="140">
        <v>5300</v>
      </c>
      <c r="Y27" s="209">
        <f t="shared" si="0"/>
        <v>5300</v>
      </c>
      <c r="Z27">
        <v>0</v>
      </c>
      <c r="AE27"/>
      <c r="AF27"/>
      <c r="AG27" t="s">
        <v>223</v>
      </c>
      <c r="AN27" t="s">
        <v>218</v>
      </c>
      <c r="AO27" t="s">
        <v>224</v>
      </c>
      <c r="AP27" t="s">
        <v>225</v>
      </c>
      <c r="AQ27">
        <v>0.13</v>
      </c>
      <c r="AR27" t="s">
        <v>226</v>
      </c>
    </row>
    <row r="28" hidden="1" spans="1:44">
      <c r="A28" t="s">
        <v>105</v>
      </c>
      <c r="B28" t="s">
        <v>36</v>
      </c>
      <c r="C28" s="209" t="s">
        <v>37</v>
      </c>
      <c r="D28" s="210">
        <v>71020121051443</v>
      </c>
      <c r="E28" s="211">
        <v>44347</v>
      </c>
      <c r="F28" t="s">
        <v>218</v>
      </c>
      <c r="G28" t="s">
        <v>219</v>
      </c>
      <c r="H28">
        <v>40</v>
      </c>
      <c r="I28" t="s">
        <v>124</v>
      </c>
      <c r="J28" t="s">
        <v>228</v>
      </c>
      <c r="K28" t="s">
        <v>221</v>
      </c>
      <c r="L28">
        <v>5600</v>
      </c>
      <c r="M28" s="211">
        <v>44418</v>
      </c>
      <c r="N28" s="211">
        <v>44418</v>
      </c>
      <c r="O28" s="212" t="s">
        <v>227</v>
      </c>
      <c r="P28" t="s">
        <v>222</v>
      </c>
      <c r="S28">
        <v>0</v>
      </c>
      <c r="T28">
        <v>0</v>
      </c>
      <c r="U28">
        <v>0</v>
      </c>
      <c r="V28">
        <v>0</v>
      </c>
      <c r="W28">
        <v>0</v>
      </c>
      <c r="X28" s="140">
        <v>5600</v>
      </c>
      <c r="Y28" s="209">
        <f t="shared" si="0"/>
        <v>5600</v>
      </c>
      <c r="Z28">
        <v>0</v>
      </c>
      <c r="AE28"/>
      <c r="AF28"/>
      <c r="AG28" t="s">
        <v>223</v>
      </c>
      <c r="AN28" t="s">
        <v>218</v>
      </c>
      <c r="AO28" t="s">
        <v>224</v>
      </c>
      <c r="AP28" t="s">
        <v>225</v>
      </c>
      <c r="AQ28">
        <v>0.13</v>
      </c>
      <c r="AR28" t="s">
        <v>226</v>
      </c>
    </row>
    <row r="29" hidden="1" spans="1:44">
      <c r="A29" t="s">
        <v>105</v>
      </c>
      <c r="B29" t="s">
        <v>36</v>
      </c>
      <c r="C29" s="209" t="s">
        <v>37</v>
      </c>
      <c r="D29" s="210">
        <v>71020121051443</v>
      </c>
      <c r="E29" s="211">
        <v>44347</v>
      </c>
      <c r="F29" t="s">
        <v>218</v>
      </c>
      <c r="G29" t="s">
        <v>219</v>
      </c>
      <c r="H29">
        <v>41</v>
      </c>
      <c r="I29" t="s">
        <v>129</v>
      </c>
      <c r="J29" t="s">
        <v>229</v>
      </c>
      <c r="K29" t="s">
        <v>221</v>
      </c>
      <c r="L29">
        <v>5200</v>
      </c>
      <c r="M29" s="211">
        <v>44429</v>
      </c>
      <c r="N29" s="211">
        <v>44429</v>
      </c>
      <c r="O29" s="212" t="s">
        <v>227</v>
      </c>
      <c r="P29" t="s">
        <v>222</v>
      </c>
      <c r="S29">
        <v>0</v>
      </c>
      <c r="T29">
        <v>0</v>
      </c>
      <c r="U29">
        <v>0</v>
      </c>
      <c r="V29">
        <v>0</v>
      </c>
      <c r="W29">
        <v>0</v>
      </c>
      <c r="X29" s="140">
        <v>5200</v>
      </c>
      <c r="Y29" s="209">
        <f t="shared" si="0"/>
        <v>5200</v>
      </c>
      <c r="Z29">
        <v>0</v>
      </c>
      <c r="AE29"/>
      <c r="AF29"/>
      <c r="AG29" t="s">
        <v>223</v>
      </c>
      <c r="AN29" t="s">
        <v>218</v>
      </c>
      <c r="AO29" t="s">
        <v>224</v>
      </c>
      <c r="AP29" t="s">
        <v>225</v>
      </c>
      <c r="AQ29">
        <v>0.13</v>
      </c>
      <c r="AR29" t="s">
        <v>226</v>
      </c>
    </row>
    <row r="30" hidden="1" spans="1:44">
      <c r="A30" t="s">
        <v>105</v>
      </c>
      <c r="B30" t="s">
        <v>36</v>
      </c>
      <c r="C30" s="209" t="s">
        <v>37</v>
      </c>
      <c r="D30" s="210">
        <v>71020121051443</v>
      </c>
      <c r="E30" s="211">
        <v>44347</v>
      </c>
      <c r="F30" t="s">
        <v>218</v>
      </c>
      <c r="G30" t="s">
        <v>219</v>
      </c>
      <c r="H30">
        <v>42</v>
      </c>
      <c r="I30" t="s">
        <v>129</v>
      </c>
      <c r="J30" t="s">
        <v>229</v>
      </c>
      <c r="K30" t="s">
        <v>221</v>
      </c>
      <c r="L30">
        <v>5000</v>
      </c>
      <c r="M30" s="211">
        <v>44428</v>
      </c>
      <c r="N30" s="211">
        <v>44428</v>
      </c>
      <c r="O30" s="212" t="s">
        <v>227</v>
      </c>
      <c r="P30" t="s">
        <v>222</v>
      </c>
      <c r="S30">
        <v>0</v>
      </c>
      <c r="T30">
        <v>0</v>
      </c>
      <c r="U30">
        <v>0</v>
      </c>
      <c r="V30">
        <v>0</v>
      </c>
      <c r="W30">
        <v>0</v>
      </c>
      <c r="X30" s="140">
        <v>5000</v>
      </c>
      <c r="Y30" s="209">
        <f t="shared" si="0"/>
        <v>5000</v>
      </c>
      <c r="Z30">
        <v>0</v>
      </c>
      <c r="AE30"/>
      <c r="AF30"/>
      <c r="AG30" t="s">
        <v>223</v>
      </c>
      <c r="AN30" t="s">
        <v>218</v>
      </c>
      <c r="AO30" t="s">
        <v>224</v>
      </c>
      <c r="AP30" t="s">
        <v>225</v>
      </c>
      <c r="AQ30">
        <v>0.13</v>
      </c>
      <c r="AR30" t="s">
        <v>226</v>
      </c>
    </row>
    <row r="31" hidden="1" spans="1:44">
      <c r="A31" t="s">
        <v>105</v>
      </c>
      <c r="B31" t="s">
        <v>36</v>
      </c>
      <c r="C31" s="209" t="s">
        <v>37</v>
      </c>
      <c r="D31" s="210">
        <v>71020121051443</v>
      </c>
      <c r="E31" s="211">
        <v>44347</v>
      </c>
      <c r="F31" t="s">
        <v>218</v>
      </c>
      <c r="G31" t="s">
        <v>219</v>
      </c>
      <c r="H31">
        <v>43</v>
      </c>
      <c r="I31" t="s">
        <v>129</v>
      </c>
      <c r="J31" t="s">
        <v>229</v>
      </c>
      <c r="K31" t="s">
        <v>221</v>
      </c>
      <c r="L31">
        <v>5200</v>
      </c>
      <c r="M31" s="211">
        <v>44422</v>
      </c>
      <c r="N31" s="211">
        <v>44422</v>
      </c>
      <c r="O31" s="212" t="s">
        <v>227</v>
      </c>
      <c r="P31" t="s">
        <v>222</v>
      </c>
      <c r="S31">
        <v>0</v>
      </c>
      <c r="T31">
        <v>0</v>
      </c>
      <c r="U31">
        <v>0</v>
      </c>
      <c r="V31">
        <v>0</v>
      </c>
      <c r="W31">
        <v>0</v>
      </c>
      <c r="X31" s="140">
        <v>5200</v>
      </c>
      <c r="Y31" s="209">
        <f t="shared" si="0"/>
        <v>5200</v>
      </c>
      <c r="Z31">
        <v>0</v>
      </c>
      <c r="AE31"/>
      <c r="AF31"/>
      <c r="AG31" t="s">
        <v>223</v>
      </c>
      <c r="AN31" t="s">
        <v>218</v>
      </c>
      <c r="AO31" t="s">
        <v>224</v>
      </c>
      <c r="AP31" t="s">
        <v>225</v>
      </c>
      <c r="AQ31">
        <v>0.13</v>
      </c>
      <c r="AR31" t="s">
        <v>226</v>
      </c>
    </row>
    <row r="32" hidden="1" spans="1:44">
      <c r="A32" t="s">
        <v>105</v>
      </c>
      <c r="B32" t="s">
        <v>36</v>
      </c>
      <c r="C32" s="209" t="s">
        <v>37</v>
      </c>
      <c r="D32" s="210">
        <v>71020121051443</v>
      </c>
      <c r="E32" s="211">
        <v>44347</v>
      </c>
      <c r="F32" t="s">
        <v>218</v>
      </c>
      <c r="G32" t="s">
        <v>219</v>
      </c>
      <c r="H32">
        <v>44</v>
      </c>
      <c r="I32" t="s">
        <v>129</v>
      </c>
      <c r="J32" t="s">
        <v>229</v>
      </c>
      <c r="K32" t="s">
        <v>221</v>
      </c>
      <c r="L32">
        <v>5000</v>
      </c>
      <c r="M32" s="211">
        <v>44421</v>
      </c>
      <c r="N32" s="211">
        <v>44421</v>
      </c>
      <c r="O32" s="212" t="s">
        <v>227</v>
      </c>
      <c r="P32" t="s">
        <v>222</v>
      </c>
      <c r="S32">
        <v>0</v>
      </c>
      <c r="T32">
        <v>0</v>
      </c>
      <c r="U32">
        <v>0</v>
      </c>
      <c r="V32">
        <v>0</v>
      </c>
      <c r="W32">
        <v>0</v>
      </c>
      <c r="X32" s="140">
        <v>5000</v>
      </c>
      <c r="Y32" s="209">
        <f t="shared" si="0"/>
        <v>5000</v>
      </c>
      <c r="Z32">
        <v>0</v>
      </c>
      <c r="AE32"/>
      <c r="AF32"/>
      <c r="AG32" t="s">
        <v>223</v>
      </c>
      <c r="AN32" t="s">
        <v>218</v>
      </c>
      <c r="AO32" t="s">
        <v>224</v>
      </c>
      <c r="AP32" t="s">
        <v>225</v>
      </c>
      <c r="AQ32">
        <v>0.13</v>
      </c>
      <c r="AR32" t="s">
        <v>226</v>
      </c>
    </row>
    <row r="33" hidden="1" spans="1:44">
      <c r="A33" t="s">
        <v>105</v>
      </c>
      <c r="B33" t="s">
        <v>36</v>
      </c>
      <c r="C33" s="209" t="s">
        <v>37</v>
      </c>
      <c r="D33" s="210">
        <v>71020121051443</v>
      </c>
      <c r="E33" s="211">
        <v>44347</v>
      </c>
      <c r="F33" t="s">
        <v>218</v>
      </c>
      <c r="G33" t="s">
        <v>219</v>
      </c>
      <c r="H33">
        <v>45</v>
      </c>
      <c r="I33" t="s">
        <v>129</v>
      </c>
      <c r="J33" t="s">
        <v>229</v>
      </c>
      <c r="K33" t="s">
        <v>221</v>
      </c>
      <c r="L33">
        <v>5200</v>
      </c>
      <c r="M33" s="211">
        <v>44417</v>
      </c>
      <c r="N33" s="211">
        <v>44417</v>
      </c>
      <c r="O33" s="212" t="s">
        <v>227</v>
      </c>
      <c r="P33" t="s">
        <v>222</v>
      </c>
      <c r="S33">
        <v>0</v>
      </c>
      <c r="T33">
        <v>0</v>
      </c>
      <c r="U33">
        <v>0</v>
      </c>
      <c r="V33">
        <v>0</v>
      </c>
      <c r="W33">
        <v>0</v>
      </c>
      <c r="X33" s="140">
        <v>5200</v>
      </c>
      <c r="Y33" s="209">
        <f t="shared" si="0"/>
        <v>5200</v>
      </c>
      <c r="Z33">
        <v>0</v>
      </c>
      <c r="AE33"/>
      <c r="AF33"/>
      <c r="AG33" t="s">
        <v>223</v>
      </c>
      <c r="AN33" t="s">
        <v>218</v>
      </c>
      <c r="AO33" t="s">
        <v>224</v>
      </c>
      <c r="AP33" t="s">
        <v>225</v>
      </c>
      <c r="AQ33">
        <v>0.13</v>
      </c>
      <c r="AR33" t="s">
        <v>226</v>
      </c>
    </row>
    <row r="34" hidden="1" spans="1:44">
      <c r="A34" t="s">
        <v>105</v>
      </c>
      <c r="B34" t="s">
        <v>36</v>
      </c>
      <c r="C34" s="209" t="s">
        <v>37</v>
      </c>
      <c r="D34" s="210">
        <v>71020121051443</v>
      </c>
      <c r="E34" s="211">
        <v>44347</v>
      </c>
      <c r="F34" t="s">
        <v>218</v>
      </c>
      <c r="G34" t="s">
        <v>219</v>
      </c>
      <c r="H34">
        <v>46</v>
      </c>
      <c r="I34" t="s">
        <v>129</v>
      </c>
      <c r="J34" t="s">
        <v>229</v>
      </c>
      <c r="K34" t="s">
        <v>221</v>
      </c>
      <c r="L34">
        <v>5000</v>
      </c>
      <c r="M34" s="211">
        <v>44416</v>
      </c>
      <c r="N34" s="211">
        <v>44416</v>
      </c>
      <c r="O34" s="212" t="s">
        <v>227</v>
      </c>
      <c r="P34" t="s">
        <v>222</v>
      </c>
      <c r="S34">
        <v>0</v>
      </c>
      <c r="T34">
        <v>0</v>
      </c>
      <c r="U34">
        <v>0</v>
      </c>
      <c r="V34">
        <v>0</v>
      </c>
      <c r="W34">
        <v>0</v>
      </c>
      <c r="X34" s="140">
        <v>5000</v>
      </c>
      <c r="Y34" s="209">
        <f t="shared" si="0"/>
        <v>5000</v>
      </c>
      <c r="Z34">
        <v>0</v>
      </c>
      <c r="AE34"/>
      <c r="AF34"/>
      <c r="AG34" t="s">
        <v>223</v>
      </c>
      <c r="AN34" t="s">
        <v>218</v>
      </c>
      <c r="AO34" t="s">
        <v>224</v>
      </c>
      <c r="AP34" t="s">
        <v>225</v>
      </c>
      <c r="AQ34">
        <v>0.13</v>
      </c>
      <c r="AR34" t="s">
        <v>226</v>
      </c>
    </row>
    <row r="35" hidden="1" spans="1:44">
      <c r="A35" t="s">
        <v>105</v>
      </c>
      <c r="B35" t="s">
        <v>36</v>
      </c>
      <c r="C35" s="209" t="s">
        <v>37</v>
      </c>
      <c r="D35" s="210">
        <v>71020121060304</v>
      </c>
      <c r="E35" s="211">
        <v>44354</v>
      </c>
      <c r="F35" t="s">
        <v>218</v>
      </c>
      <c r="G35" t="s">
        <v>219</v>
      </c>
      <c r="H35">
        <v>1</v>
      </c>
      <c r="I35" t="s">
        <v>230</v>
      </c>
      <c r="J35" t="s">
        <v>228</v>
      </c>
      <c r="K35" t="s">
        <v>221</v>
      </c>
      <c r="L35">
        <v>1200</v>
      </c>
      <c r="M35" s="211">
        <v>44426</v>
      </c>
      <c r="N35" s="211">
        <v>44426</v>
      </c>
      <c r="O35" s="212" t="s">
        <v>227</v>
      </c>
      <c r="P35" t="s">
        <v>222</v>
      </c>
      <c r="S35">
        <v>0</v>
      </c>
      <c r="T35">
        <v>0</v>
      </c>
      <c r="U35">
        <v>0</v>
      </c>
      <c r="V35">
        <v>0</v>
      </c>
      <c r="W35">
        <v>0</v>
      </c>
      <c r="X35" s="140">
        <v>1200</v>
      </c>
      <c r="Y35" s="209">
        <f t="shared" si="0"/>
        <v>1200</v>
      </c>
      <c r="Z35">
        <v>0</v>
      </c>
      <c r="AE35"/>
      <c r="AF35"/>
      <c r="AG35" t="s">
        <v>223</v>
      </c>
      <c r="AN35" t="s">
        <v>218</v>
      </c>
      <c r="AO35" t="s">
        <v>224</v>
      </c>
      <c r="AP35" t="s">
        <v>225</v>
      </c>
      <c r="AQ35">
        <v>0.13</v>
      </c>
      <c r="AR35" t="s">
        <v>226</v>
      </c>
    </row>
    <row r="36" hidden="1" spans="1:44">
      <c r="A36" t="s">
        <v>105</v>
      </c>
      <c r="B36" t="s">
        <v>36</v>
      </c>
      <c r="C36" s="209" t="s">
        <v>37</v>
      </c>
      <c r="D36" s="210">
        <v>71020121060304</v>
      </c>
      <c r="E36" s="211">
        <v>44354</v>
      </c>
      <c r="F36" t="s">
        <v>218</v>
      </c>
      <c r="G36" t="s">
        <v>219</v>
      </c>
      <c r="H36">
        <v>3</v>
      </c>
      <c r="I36" t="s">
        <v>138</v>
      </c>
      <c r="J36" t="s">
        <v>220</v>
      </c>
      <c r="K36" t="s">
        <v>221</v>
      </c>
      <c r="L36">
        <v>1000</v>
      </c>
      <c r="M36" s="211">
        <v>44421</v>
      </c>
      <c r="N36" s="211">
        <v>44421</v>
      </c>
      <c r="O36" s="212" t="s">
        <v>227</v>
      </c>
      <c r="P36" t="s">
        <v>222</v>
      </c>
      <c r="S36">
        <v>0</v>
      </c>
      <c r="T36">
        <v>0</v>
      </c>
      <c r="U36">
        <v>0</v>
      </c>
      <c r="V36">
        <v>0</v>
      </c>
      <c r="W36">
        <v>0</v>
      </c>
      <c r="X36" s="140">
        <v>1000</v>
      </c>
      <c r="Y36" s="209">
        <f t="shared" si="0"/>
        <v>1000</v>
      </c>
      <c r="Z36">
        <v>0</v>
      </c>
      <c r="AE36"/>
      <c r="AF36"/>
      <c r="AG36" t="s">
        <v>223</v>
      </c>
      <c r="AN36" t="s">
        <v>218</v>
      </c>
      <c r="AO36" t="s">
        <v>224</v>
      </c>
      <c r="AP36" t="s">
        <v>225</v>
      </c>
      <c r="AQ36">
        <v>0.13</v>
      </c>
      <c r="AR36" t="s">
        <v>226</v>
      </c>
    </row>
    <row r="37" hidden="1" spans="1:44">
      <c r="A37" t="s">
        <v>105</v>
      </c>
      <c r="B37" t="s">
        <v>36</v>
      </c>
      <c r="C37" s="209" t="s">
        <v>37</v>
      </c>
      <c r="D37" s="210">
        <v>71020121060304</v>
      </c>
      <c r="E37" s="211">
        <v>44354</v>
      </c>
      <c r="F37" t="s">
        <v>218</v>
      </c>
      <c r="G37" t="s">
        <v>219</v>
      </c>
      <c r="H37">
        <v>7</v>
      </c>
      <c r="I37" t="s">
        <v>132</v>
      </c>
      <c r="J37" t="s">
        <v>220</v>
      </c>
      <c r="K37" t="s">
        <v>221</v>
      </c>
      <c r="L37">
        <v>3100</v>
      </c>
      <c r="M37" s="211">
        <v>44397</v>
      </c>
      <c r="N37" s="211">
        <v>44397</v>
      </c>
      <c r="O37" s="212" t="s">
        <v>60</v>
      </c>
      <c r="P37" t="s">
        <v>222</v>
      </c>
      <c r="S37">
        <v>0</v>
      </c>
      <c r="T37">
        <v>0</v>
      </c>
      <c r="U37">
        <v>0</v>
      </c>
      <c r="V37">
        <v>0</v>
      </c>
      <c r="W37">
        <v>0</v>
      </c>
      <c r="X37" s="140">
        <v>3100</v>
      </c>
      <c r="Y37" s="209">
        <f t="shared" si="0"/>
        <v>3100</v>
      </c>
      <c r="Z37">
        <v>0</v>
      </c>
      <c r="AE37"/>
      <c r="AF37"/>
      <c r="AG37" t="s">
        <v>223</v>
      </c>
      <c r="AN37" t="s">
        <v>218</v>
      </c>
      <c r="AO37" t="s">
        <v>224</v>
      </c>
      <c r="AP37" t="s">
        <v>225</v>
      </c>
      <c r="AQ37">
        <v>0.13</v>
      </c>
      <c r="AR37" t="s">
        <v>226</v>
      </c>
    </row>
    <row r="38" hidden="1" spans="1:44">
      <c r="A38" t="s">
        <v>105</v>
      </c>
      <c r="B38" t="s">
        <v>36</v>
      </c>
      <c r="C38" s="209" t="s">
        <v>37</v>
      </c>
      <c r="D38" s="210">
        <v>71020121060304</v>
      </c>
      <c r="E38" s="211">
        <v>44354</v>
      </c>
      <c r="F38" t="s">
        <v>218</v>
      </c>
      <c r="G38" t="s">
        <v>219</v>
      </c>
      <c r="H38">
        <v>8</v>
      </c>
      <c r="I38" t="s">
        <v>129</v>
      </c>
      <c r="J38" t="s">
        <v>229</v>
      </c>
      <c r="K38" t="s">
        <v>221</v>
      </c>
      <c r="L38">
        <v>5000</v>
      </c>
      <c r="M38" s="211">
        <v>44412</v>
      </c>
      <c r="N38" s="211">
        <v>44412</v>
      </c>
      <c r="O38" s="212" t="s">
        <v>227</v>
      </c>
      <c r="P38" t="s">
        <v>222</v>
      </c>
      <c r="S38">
        <v>0</v>
      </c>
      <c r="T38">
        <v>0</v>
      </c>
      <c r="U38">
        <v>0</v>
      </c>
      <c r="V38">
        <v>0</v>
      </c>
      <c r="W38">
        <v>0</v>
      </c>
      <c r="X38" s="140">
        <v>5000</v>
      </c>
      <c r="Y38" s="209">
        <f t="shared" si="0"/>
        <v>5000</v>
      </c>
      <c r="Z38">
        <v>0</v>
      </c>
      <c r="AE38"/>
      <c r="AF38"/>
      <c r="AG38" t="s">
        <v>223</v>
      </c>
      <c r="AN38" t="s">
        <v>218</v>
      </c>
      <c r="AO38" t="s">
        <v>224</v>
      </c>
      <c r="AP38" t="s">
        <v>225</v>
      </c>
      <c r="AQ38">
        <v>0.13</v>
      </c>
      <c r="AR38" t="s">
        <v>226</v>
      </c>
    </row>
    <row r="39" hidden="1" spans="1:44">
      <c r="A39" t="s">
        <v>105</v>
      </c>
      <c r="B39" t="s">
        <v>36</v>
      </c>
      <c r="C39" s="209" t="s">
        <v>37</v>
      </c>
      <c r="D39" s="210">
        <v>71020121060304</v>
      </c>
      <c r="E39" s="211">
        <v>44354</v>
      </c>
      <c r="F39" t="s">
        <v>218</v>
      </c>
      <c r="G39" t="s">
        <v>219</v>
      </c>
      <c r="H39">
        <v>9</v>
      </c>
      <c r="I39" t="s">
        <v>129</v>
      </c>
      <c r="J39" t="s">
        <v>229</v>
      </c>
      <c r="K39" t="s">
        <v>221</v>
      </c>
      <c r="L39">
        <v>5000</v>
      </c>
      <c r="M39" s="211">
        <v>44411</v>
      </c>
      <c r="N39" s="211">
        <v>44411</v>
      </c>
      <c r="O39" s="212" t="s">
        <v>227</v>
      </c>
      <c r="P39" t="s">
        <v>222</v>
      </c>
      <c r="S39">
        <v>0</v>
      </c>
      <c r="T39">
        <v>0</v>
      </c>
      <c r="U39">
        <v>0</v>
      </c>
      <c r="V39">
        <v>0</v>
      </c>
      <c r="W39">
        <v>0</v>
      </c>
      <c r="X39" s="140">
        <v>5000</v>
      </c>
      <c r="Y39" s="209">
        <f t="shared" si="0"/>
        <v>5000</v>
      </c>
      <c r="Z39">
        <v>0</v>
      </c>
      <c r="AE39"/>
      <c r="AF39"/>
      <c r="AG39" t="s">
        <v>223</v>
      </c>
      <c r="AN39" t="s">
        <v>218</v>
      </c>
      <c r="AO39" t="s">
        <v>224</v>
      </c>
      <c r="AP39" t="s">
        <v>225</v>
      </c>
      <c r="AQ39">
        <v>0.13</v>
      </c>
      <c r="AR39" t="s">
        <v>226</v>
      </c>
    </row>
    <row r="40" hidden="1" spans="1:44">
      <c r="A40" t="s">
        <v>105</v>
      </c>
      <c r="B40" t="s">
        <v>36</v>
      </c>
      <c r="C40" s="209" t="s">
        <v>37</v>
      </c>
      <c r="D40" s="210">
        <v>71020121060304</v>
      </c>
      <c r="E40" s="211">
        <v>44354</v>
      </c>
      <c r="F40" t="s">
        <v>218</v>
      </c>
      <c r="G40" t="s">
        <v>219</v>
      </c>
      <c r="H40">
        <v>10</v>
      </c>
      <c r="I40" t="s">
        <v>129</v>
      </c>
      <c r="J40" t="s">
        <v>229</v>
      </c>
      <c r="K40" t="s">
        <v>221</v>
      </c>
      <c r="L40">
        <v>5000</v>
      </c>
      <c r="M40" s="211">
        <v>44410</v>
      </c>
      <c r="N40" s="211">
        <v>44410</v>
      </c>
      <c r="O40" s="212" t="s">
        <v>227</v>
      </c>
      <c r="P40" t="s">
        <v>222</v>
      </c>
      <c r="S40">
        <v>0</v>
      </c>
      <c r="T40">
        <v>0</v>
      </c>
      <c r="U40">
        <v>0</v>
      </c>
      <c r="V40">
        <v>0</v>
      </c>
      <c r="W40">
        <v>0</v>
      </c>
      <c r="X40" s="140">
        <v>5000</v>
      </c>
      <c r="Y40" s="209">
        <f t="shared" si="0"/>
        <v>5000</v>
      </c>
      <c r="Z40">
        <v>0</v>
      </c>
      <c r="AE40"/>
      <c r="AF40"/>
      <c r="AG40" t="s">
        <v>223</v>
      </c>
      <c r="AN40" t="s">
        <v>218</v>
      </c>
      <c r="AO40" t="s">
        <v>224</v>
      </c>
      <c r="AP40" t="s">
        <v>225</v>
      </c>
      <c r="AQ40">
        <v>0.13</v>
      </c>
      <c r="AR40" t="s">
        <v>226</v>
      </c>
    </row>
    <row r="41" hidden="1" spans="1:44">
      <c r="A41" t="s">
        <v>105</v>
      </c>
      <c r="B41" t="s">
        <v>36</v>
      </c>
      <c r="C41" s="209" t="s">
        <v>37</v>
      </c>
      <c r="D41" s="210">
        <v>71020121060304</v>
      </c>
      <c r="E41" s="211">
        <v>44354</v>
      </c>
      <c r="F41" t="s">
        <v>218</v>
      </c>
      <c r="G41" t="s">
        <v>219</v>
      </c>
      <c r="H41">
        <v>11</v>
      </c>
      <c r="I41" t="s">
        <v>129</v>
      </c>
      <c r="J41" t="s">
        <v>229</v>
      </c>
      <c r="K41" t="s">
        <v>221</v>
      </c>
      <c r="L41">
        <v>5000</v>
      </c>
      <c r="M41" s="211">
        <v>44409</v>
      </c>
      <c r="N41" s="211">
        <v>44409</v>
      </c>
      <c r="O41" s="212" t="s">
        <v>227</v>
      </c>
      <c r="P41" t="s">
        <v>222</v>
      </c>
      <c r="S41">
        <v>0</v>
      </c>
      <c r="T41">
        <v>0</v>
      </c>
      <c r="U41">
        <v>0</v>
      </c>
      <c r="V41">
        <v>0</v>
      </c>
      <c r="W41">
        <v>0</v>
      </c>
      <c r="X41" s="140">
        <v>5000</v>
      </c>
      <c r="Y41" s="209">
        <f t="shared" si="0"/>
        <v>5000</v>
      </c>
      <c r="Z41">
        <v>0</v>
      </c>
      <c r="AE41"/>
      <c r="AF41"/>
      <c r="AG41" t="s">
        <v>223</v>
      </c>
      <c r="AN41" t="s">
        <v>218</v>
      </c>
      <c r="AO41" t="s">
        <v>224</v>
      </c>
      <c r="AP41" t="s">
        <v>225</v>
      </c>
      <c r="AQ41">
        <v>0.13</v>
      </c>
      <c r="AR41" t="s">
        <v>226</v>
      </c>
    </row>
    <row r="42" hidden="1" spans="1:44">
      <c r="A42" t="s">
        <v>105</v>
      </c>
      <c r="B42" t="s">
        <v>36</v>
      </c>
      <c r="C42" s="209" t="s">
        <v>37</v>
      </c>
      <c r="D42" s="210">
        <v>71020121060304</v>
      </c>
      <c r="E42" s="211">
        <v>44354</v>
      </c>
      <c r="F42" t="s">
        <v>218</v>
      </c>
      <c r="G42" t="s">
        <v>219</v>
      </c>
      <c r="H42">
        <v>14</v>
      </c>
      <c r="I42" t="s">
        <v>231</v>
      </c>
      <c r="J42" t="s">
        <v>220</v>
      </c>
      <c r="K42" t="s">
        <v>221</v>
      </c>
      <c r="L42">
        <v>2200</v>
      </c>
      <c r="M42" s="211">
        <v>44422</v>
      </c>
      <c r="N42" s="211">
        <v>44422</v>
      </c>
      <c r="O42" s="212" t="s">
        <v>227</v>
      </c>
      <c r="P42" t="s">
        <v>222</v>
      </c>
      <c r="S42">
        <v>0</v>
      </c>
      <c r="T42">
        <v>0</v>
      </c>
      <c r="U42">
        <v>0</v>
      </c>
      <c r="V42">
        <v>0</v>
      </c>
      <c r="W42">
        <v>0</v>
      </c>
      <c r="X42" s="140">
        <v>2200</v>
      </c>
      <c r="Y42" s="209">
        <f t="shared" si="0"/>
        <v>2200</v>
      </c>
      <c r="Z42">
        <v>0</v>
      </c>
      <c r="AE42"/>
      <c r="AF42"/>
      <c r="AG42" t="s">
        <v>223</v>
      </c>
      <c r="AN42" t="s">
        <v>218</v>
      </c>
      <c r="AO42" t="s">
        <v>224</v>
      </c>
      <c r="AP42" t="s">
        <v>225</v>
      </c>
      <c r="AQ42">
        <v>0.13</v>
      </c>
      <c r="AR42" t="s">
        <v>226</v>
      </c>
    </row>
    <row r="43" hidden="1" spans="1:44">
      <c r="A43" t="s">
        <v>105</v>
      </c>
      <c r="B43" t="s">
        <v>36</v>
      </c>
      <c r="C43" s="209" t="s">
        <v>37</v>
      </c>
      <c r="D43" s="210">
        <v>71020121060304</v>
      </c>
      <c r="E43" s="211">
        <v>44354</v>
      </c>
      <c r="F43" t="s">
        <v>218</v>
      </c>
      <c r="G43" t="s">
        <v>219</v>
      </c>
      <c r="H43">
        <v>15</v>
      </c>
      <c r="I43" t="s">
        <v>231</v>
      </c>
      <c r="J43" t="s">
        <v>220</v>
      </c>
      <c r="K43" t="s">
        <v>221</v>
      </c>
      <c r="L43">
        <v>4000</v>
      </c>
      <c r="M43" s="211">
        <v>44409</v>
      </c>
      <c r="N43" s="211">
        <v>44409</v>
      </c>
      <c r="O43" s="212" t="s">
        <v>227</v>
      </c>
      <c r="P43" t="s">
        <v>222</v>
      </c>
      <c r="S43">
        <v>0</v>
      </c>
      <c r="T43">
        <v>0</v>
      </c>
      <c r="U43">
        <v>0</v>
      </c>
      <c r="V43">
        <v>0</v>
      </c>
      <c r="W43">
        <v>0</v>
      </c>
      <c r="X43" s="140">
        <v>4000</v>
      </c>
      <c r="Y43" s="209">
        <f t="shared" si="0"/>
        <v>4000</v>
      </c>
      <c r="Z43">
        <v>0</v>
      </c>
      <c r="AE43"/>
      <c r="AF43"/>
      <c r="AG43" t="s">
        <v>223</v>
      </c>
      <c r="AN43" t="s">
        <v>218</v>
      </c>
      <c r="AO43" t="s">
        <v>224</v>
      </c>
      <c r="AP43" t="s">
        <v>225</v>
      </c>
      <c r="AQ43">
        <v>0.13</v>
      </c>
      <c r="AR43" t="s">
        <v>226</v>
      </c>
    </row>
    <row r="44" hidden="1" spans="1:44">
      <c r="A44" t="s">
        <v>105</v>
      </c>
      <c r="B44" t="s">
        <v>36</v>
      </c>
      <c r="C44" s="209" t="s">
        <v>37</v>
      </c>
      <c r="D44" s="210">
        <v>71020121060810</v>
      </c>
      <c r="E44" s="211">
        <v>44363</v>
      </c>
      <c r="F44" t="s">
        <v>218</v>
      </c>
      <c r="G44" t="s">
        <v>219</v>
      </c>
      <c r="H44">
        <v>1</v>
      </c>
      <c r="I44" t="s">
        <v>134</v>
      </c>
      <c r="J44" t="s">
        <v>220</v>
      </c>
      <c r="K44" t="s">
        <v>221</v>
      </c>
      <c r="L44">
        <v>1300</v>
      </c>
      <c r="M44" s="211">
        <v>44403</v>
      </c>
      <c r="N44" s="211">
        <v>44403</v>
      </c>
      <c r="O44" s="212" t="s">
        <v>60</v>
      </c>
      <c r="P44" t="s">
        <v>222</v>
      </c>
      <c r="S44">
        <v>0</v>
      </c>
      <c r="T44">
        <v>0</v>
      </c>
      <c r="U44">
        <v>0</v>
      </c>
      <c r="V44">
        <v>0</v>
      </c>
      <c r="W44">
        <v>0</v>
      </c>
      <c r="X44" s="140">
        <v>1300</v>
      </c>
      <c r="Y44" s="209">
        <f t="shared" si="0"/>
        <v>1300</v>
      </c>
      <c r="Z44">
        <v>0</v>
      </c>
      <c r="AE44"/>
      <c r="AF44"/>
      <c r="AG44" t="s">
        <v>223</v>
      </c>
      <c r="AN44" t="s">
        <v>218</v>
      </c>
      <c r="AO44" t="s">
        <v>224</v>
      </c>
      <c r="AP44" t="s">
        <v>225</v>
      </c>
      <c r="AQ44">
        <v>0.13</v>
      </c>
      <c r="AR44" t="s">
        <v>226</v>
      </c>
    </row>
    <row r="45" hidden="1" spans="1:44">
      <c r="A45" t="s">
        <v>105</v>
      </c>
      <c r="B45" t="s">
        <v>36</v>
      </c>
      <c r="C45" s="209" t="s">
        <v>37</v>
      </c>
      <c r="D45" s="210">
        <v>71020121060810</v>
      </c>
      <c r="E45" s="211">
        <v>44363</v>
      </c>
      <c r="F45" t="s">
        <v>218</v>
      </c>
      <c r="G45" t="s">
        <v>219</v>
      </c>
      <c r="H45">
        <v>3</v>
      </c>
      <c r="I45" t="s">
        <v>135</v>
      </c>
      <c r="J45" t="s">
        <v>220</v>
      </c>
      <c r="K45" t="s">
        <v>221</v>
      </c>
      <c r="L45">
        <v>1000</v>
      </c>
      <c r="M45" s="211">
        <v>44397</v>
      </c>
      <c r="N45" s="211">
        <v>44397</v>
      </c>
      <c r="O45" s="212" t="s">
        <v>60</v>
      </c>
      <c r="P45" t="s">
        <v>222</v>
      </c>
      <c r="S45">
        <v>0</v>
      </c>
      <c r="T45">
        <v>0</v>
      </c>
      <c r="U45">
        <v>0</v>
      </c>
      <c r="V45">
        <v>0</v>
      </c>
      <c r="W45">
        <v>0</v>
      </c>
      <c r="X45" s="140">
        <v>1000</v>
      </c>
      <c r="Y45" s="209">
        <f t="shared" si="0"/>
        <v>1000</v>
      </c>
      <c r="Z45">
        <v>0</v>
      </c>
      <c r="AE45"/>
      <c r="AF45"/>
      <c r="AG45" t="s">
        <v>223</v>
      </c>
      <c r="AN45" t="s">
        <v>218</v>
      </c>
      <c r="AO45" t="s">
        <v>224</v>
      </c>
      <c r="AP45" t="s">
        <v>225</v>
      </c>
      <c r="AQ45">
        <v>0.13</v>
      </c>
      <c r="AR45" t="s">
        <v>226</v>
      </c>
    </row>
    <row r="46" hidden="1" spans="1:44">
      <c r="A46" t="s">
        <v>105</v>
      </c>
      <c r="B46" t="s">
        <v>36</v>
      </c>
      <c r="C46" s="209" t="s">
        <v>37</v>
      </c>
      <c r="D46" s="210">
        <v>71020121060810</v>
      </c>
      <c r="E46" s="211">
        <v>44363</v>
      </c>
      <c r="F46" t="s">
        <v>218</v>
      </c>
      <c r="G46" t="s">
        <v>219</v>
      </c>
      <c r="H46">
        <v>4</v>
      </c>
      <c r="I46" t="s">
        <v>136</v>
      </c>
      <c r="J46" t="s">
        <v>220</v>
      </c>
      <c r="K46" t="s">
        <v>221</v>
      </c>
      <c r="L46">
        <v>5500</v>
      </c>
      <c r="M46" s="211">
        <v>44391</v>
      </c>
      <c r="N46" s="211">
        <v>44391</v>
      </c>
      <c r="O46" s="212" t="s">
        <v>60</v>
      </c>
      <c r="P46" t="s">
        <v>222</v>
      </c>
      <c r="S46">
        <v>0</v>
      </c>
      <c r="T46">
        <v>0</v>
      </c>
      <c r="U46">
        <v>0</v>
      </c>
      <c r="V46">
        <v>0</v>
      </c>
      <c r="W46">
        <v>0</v>
      </c>
      <c r="X46" s="140">
        <v>5500</v>
      </c>
      <c r="Y46" s="209">
        <f t="shared" si="0"/>
        <v>5500</v>
      </c>
      <c r="Z46">
        <v>0</v>
      </c>
      <c r="AE46"/>
      <c r="AF46"/>
      <c r="AG46" t="s">
        <v>223</v>
      </c>
      <c r="AN46" t="s">
        <v>218</v>
      </c>
      <c r="AO46" t="s">
        <v>224</v>
      </c>
      <c r="AP46" t="s">
        <v>225</v>
      </c>
      <c r="AQ46">
        <v>0.13</v>
      </c>
      <c r="AR46" t="s">
        <v>226</v>
      </c>
    </row>
    <row r="47" hidden="1" spans="1:44">
      <c r="A47" t="s">
        <v>105</v>
      </c>
      <c r="B47" t="s">
        <v>36</v>
      </c>
      <c r="C47" s="209" t="s">
        <v>37</v>
      </c>
      <c r="D47" s="210">
        <v>71020121060810</v>
      </c>
      <c r="E47" s="211">
        <v>44363</v>
      </c>
      <c r="F47" t="s">
        <v>218</v>
      </c>
      <c r="G47" t="s">
        <v>219</v>
      </c>
      <c r="H47">
        <v>5</v>
      </c>
      <c r="I47" t="s">
        <v>136</v>
      </c>
      <c r="J47" t="s">
        <v>220</v>
      </c>
      <c r="K47" t="s">
        <v>221</v>
      </c>
      <c r="L47">
        <v>4000</v>
      </c>
      <c r="M47" s="211">
        <v>44390</v>
      </c>
      <c r="N47" s="211">
        <v>44390</v>
      </c>
      <c r="O47" s="212" t="s">
        <v>60</v>
      </c>
      <c r="P47" t="s">
        <v>222</v>
      </c>
      <c r="S47">
        <v>0</v>
      </c>
      <c r="T47">
        <v>0</v>
      </c>
      <c r="U47">
        <v>0</v>
      </c>
      <c r="V47">
        <v>0</v>
      </c>
      <c r="W47">
        <v>0</v>
      </c>
      <c r="X47" s="140">
        <v>4000</v>
      </c>
      <c r="Y47" s="209">
        <f t="shared" si="0"/>
        <v>4000</v>
      </c>
      <c r="Z47">
        <v>0</v>
      </c>
      <c r="AE47"/>
      <c r="AF47"/>
      <c r="AG47" t="s">
        <v>223</v>
      </c>
      <c r="AN47" t="s">
        <v>218</v>
      </c>
      <c r="AO47" t="s">
        <v>224</v>
      </c>
      <c r="AP47" t="s">
        <v>225</v>
      </c>
      <c r="AQ47">
        <v>0.13</v>
      </c>
      <c r="AR47" t="s">
        <v>226</v>
      </c>
    </row>
    <row r="48" hidden="1" spans="1:44">
      <c r="A48" t="s">
        <v>105</v>
      </c>
      <c r="B48" t="s">
        <v>36</v>
      </c>
      <c r="C48" s="209" t="s">
        <v>37</v>
      </c>
      <c r="D48" s="210">
        <v>71020121060810</v>
      </c>
      <c r="E48" s="211">
        <v>44363</v>
      </c>
      <c r="F48" t="s">
        <v>218</v>
      </c>
      <c r="G48" t="s">
        <v>219</v>
      </c>
      <c r="H48">
        <v>6</v>
      </c>
      <c r="I48" t="s">
        <v>136</v>
      </c>
      <c r="J48" t="s">
        <v>220</v>
      </c>
      <c r="K48" t="s">
        <v>221</v>
      </c>
      <c r="L48">
        <v>4000</v>
      </c>
      <c r="M48" s="211">
        <v>44389</v>
      </c>
      <c r="N48" s="211">
        <v>44389</v>
      </c>
      <c r="O48" s="212" t="s">
        <v>60</v>
      </c>
      <c r="P48" t="s">
        <v>222</v>
      </c>
      <c r="S48">
        <v>0</v>
      </c>
      <c r="T48">
        <v>0</v>
      </c>
      <c r="U48">
        <v>0</v>
      </c>
      <c r="V48">
        <v>0</v>
      </c>
      <c r="W48">
        <v>0</v>
      </c>
      <c r="X48" s="140">
        <v>4000</v>
      </c>
      <c r="Y48" s="209">
        <f t="shared" si="0"/>
        <v>4000</v>
      </c>
      <c r="Z48">
        <v>0</v>
      </c>
      <c r="AE48"/>
      <c r="AF48"/>
      <c r="AG48" t="s">
        <v>223</v>
      </c>
      <c r="AN48" t="s">
        <v>218</v>
      </c>
      <c r="AO48" t="s">
        <v>224</v>
      </c>
      <c r="AP48" t="s">
        <v>225</v>
      </c>
      <c r="AQ48">
        <v>0.13</v>
      </c>
      <c r="AR48" t="s">
        <v>226</v>
      </c>
    </row>
    <row r="49" hidden="1" spans="1:44">
      <c r="A49" t="s">
        <v>105</v>
      </c>
      <c r="B49" t="s">
        <v>36</v>
      </c>
      <c r="C49" s="209" t="s">
        <v>37</v>
      </c>
      <c r="D49" s="210">
        <v>71020121060810</v>
      </c>
      <c r="E49" s="211">
        <v>44363</v>
      </c>
      <c r="F49" t="s">
        <v>218</v>
      </c>
      <c r="G49" t="s">
        <v>219</v>
      </c>
      <c r="H49">
        <v>9</v>
      </c>
      <c r="I49" t="s">
        <v>124</v>
      </c>
      <c r="J49" t="s">
        <v>228</v>
      </c>
      <c r="K49" t="s">
        <v>221</v>
      </c>
      <c r="L49">
        <v>800</v>
      </c>
      <c r="M49" s="211">
        <v>44392</v>
      </c>
      <c r="N49" s="211">
        <v>44392</v>
      </c>
      <c r="O49" s="212" t="s">
        <v>60</v>
      </c>
      <c r="P49" t="s">
        <v>222</v>
      </c>
      <c r="S49">
        <v>0</v>
      </c>
      <c r="T49">
        <v>0</v>
      </c>
      <c r="U49">
        <v>0</v>
      </c>
      <c r="V49">
        <v>0</v>
      </c>
      <c r="W49">
        <v>0</v>
      </c>
      <c r="X49" s="140">
        <v>800</v>
      </c>
      <c r="Y49" s="209">
        <f t="shared" si="0"/>
        <v>800</v>
      </c>
      <c r="Z49">
        <v>0</v>
      </c>
      <c r="AE49"/>
      <c r="AF49"/>
      <c r="AG49" t="s">
        <v>223</v>
      </c>
      <c r="AN49" t="s">
        <v>218</v>
      </c>
      <c r="AO49" t="s">
        <v>224</v>
      </c>
      <c r="AP49" t="s">
        <v>225</v>
      </c>
      <c r="AQ49">
        <v>0.13</v>
      </c>
      <c r="AR49" t="s">
        <v>226</v>
      </c>
    </row>
    <row r="50" hidden="1" spans="1:44">
      <c r="A50" t="s">
        <v>105</v>
      </c>
      <c r="B50" t="s">
        <v>36</v>
      </c>
      <c r="C50" s="209" t="s">
        <v>37</v>
      </c>
      <c r="D50" s="210">
        <v>71020121060810</v>
      </c>
      <c r="E50" s="211">
        <v>44363</v>
      </c>
      <c r="F50" t="s">
        <v>218</v>
      </c>
      <c r="G50" t="s">
        <v>219</v>
      </c>
      <c r="H50">
        <v>11</v>
      </c>
      <c r="I50" t="s">
        <v>133</v>
      </c>
      <c r="J50" t="s">
        <v>220</v>
      </c>
      <c r="K50" t="s">
        <v>221</v>
      </c>
      <c r="L50">
        <v>4100</v>
      </c>
      <c r="M50" s="211">
        <v>44405</v>
      </c>
      <c r="N50" s="211">
        <v>44405</v>
      </c>
      <c r="O50" s="212" t="s">
        <v>60</v>
      </c>
      <c r="P50" t="s">
        <v>222</v>
      </c>
      <c r="S50">
        <v>0</v>
      </c>
      <c r="T50">
        <v>0</v>
      </c>
      <c r="U50">
        <v>0</v>
      </c>
      <c r="V50">
        <v>0</v>
      </c>
      <c r="W50">
        <v>0</v>
      </c>
      <c r="X50" s="140">
        <v>4100</v>
      </c>
      <c r="Y50" s="209">
        <f t="shared" si="0"/>
        <v>4100</v>
      </c>
      <c r="Z50">
        <v>0</v>
      </c>
      <c r="AE50"/>
      <c r="AF50"/>
      <c r="AG50" t="s">
        <v>223</v>
      </c>
      <c r="AN50" t="s">
        <v>218</v>
      </c>
      <c r="AO50" t="s">
        <v>224</v>
      </c>
      <c r="AP50" t="s">
        <v>225</v>
      </c>
      <c r="AQ50">
        <v>0.13</v>
      </c>
      <c r="AR50" t="s">
        <v>226</v>
      </c>
    </row>
    <row r="51" hidden="1" spans="1:44">
      <c r="A51" t="s">
        <v>105</v>
      </c>
      <c r="B51" t="s">
        <v>36</v>
      </c>
      <c r="C51" s="209" t="s">
        <v>37</v>
      </c>
      <c r="D51" s="210">
        <v>71020121060810</v>
      </c>
      <c r="E51" s="211">
        <v>44363</v>
      </c>
      <c r="F51" t="s">
        <v>218</v>
      </c>
      <c r="G51" t="s">
        <v>219</v>
      </c>
      <c r="H51">
        <v>12</v>
      </c>
      <c r="I51" t="s">
        <v>133</v>
      </c>
      <c r="J51" t="s">
        <v>220</v>
      </c>
      <c r="K51" t="s">
        <v>221</v>
      </c>
      <c r="L51">
        <v>3000</v>
      </c>
      <c r="M51" s="211">
        <v>44404</v>
      </c>
      <c r="N51" s="211">
        <v>44404</v>
      </c>
      <c r="O51" s="212" t="s">
        <v>60</v>
      </c>
      <c r="P51" t="s">
        <v>222</v>
      </c>
      <c r="S51">
        <v>0</v>
      </c>
      <c r="T51">
        <v>0</v>
      </c>
      <c r="U51">
        <v>0</v>
      </c>
      <c r="V51">
        <v>0</v>
      </c>
      <c r="W51">
        <v>0</v>
      </c>
      <c r="X51" s="140">
        <v>3000</v>
      </c>
      <c r="Y51" s="209">
        <f t="shared" si="0"/>
        <v>3000</v>
      </c>
      <c r="Z51">
        <v>0</v>
      </c>
      <c r="AE51"/>
      <c r="AF51"/>
      <c r="AG51" t="s">
        <v>223</v>
      </c>
      <c r="AN51" t="s">
        <v>218</v>
      </c>
      <c r="AO51" t="s">
        <v>224</v>
      </c>
      <c r="AP51" t="s">
        <v>225</v>
      </c>
      <c r="AQ51">
        <v>0.13</v>
      </c>
      <c r="AR51" t="s">
        <v>226</v>
      </c>
    </row>
    <row r="52" hidden="1" spans="1:44">
      <c r="A52" t="s">
        <v>105</v>
      </c>
      <c r="B52" t="s">
        <v>36</v>
      </c>
      <c r="C52" s="209" t="s">
        <v>37</v>
      </c>
      <c r="D52" s="210">
        <v>71020121060810</v>
      </c>
      <c r="E52" s="211">
        <v>44363</v>
      </c>
      <c r="F52" t="s">
        <v>218</v>
      </c>
      <c r="G52" t="s">
        <v>219</v>
      </c>
      <c r="H52">
        <v>13</v>
      </c>
      <c r="I52" t="s">
        <v>133</v>
      </c>
      <c r="J52" t="s">
        <v>220</v>
      </c>
      <c r="K52" t="s">
        <v>221</v>
      </c>
      <c r="L52">
        <v>3000</v>
      </c>
      <c r="M52" s="211">
        <v>44403</v>
      </c>
      <c r="N52" s="211">
        <v>44403</v>
      </c>
      <c r="O52" s="212" t="s">
        <v>60</v>
      </c>
      <c r="P52" t="s">
        <v>222</v>
      </c>
      <c r="S52">
        <v>0</v>
      </c>
      <c r="T52">
        <v>0</v>
      </c>
      <c r="U52">
        <v>0</v>
      </c>
      <c r="V52">
        <v>0</v>
      </c>
      <c r="W52">
        <v>0</v>
      </c>
      <c r="X52" s="140">
        <v>3000</v>
      </c>
      <c r="Y52" s="209">
        <f t="shared" si="0"/>
        <v>3000</v>
      </c>
      <c r="Z52">
        <v>0</v>
      </c>
      <c r="AE52"/>
      <c r="AF52"/>
      <c r="AG52" t="s">
        <v>223</v>
      </c>
      <c r="AN52" t="s">
        <v>218</v>
      </c>
      <c r="AO52" t="s">
        <v>224</v>
      </c>
      <c r="AP52" t="s">
        <v>225</v>
      </c>
      <c r="AQ52">
        <v>0.13</v>
      </c>
      <c r="AR52" t="s">
        <v>226</v>
      </c>
    </row>
    <row r="53" hidden="1" spans="1:44">
      <c r="A53" t="s">
        <v>105</v>
      </c>
      <c r="B53" t="s">
        <v>36</v>
      </c>
      <c r="C53" s="209" t="s">
        <v>37</v>
      </c>
      <c r="D53" s="210">
        <v>71020121060810</v>
      </c>
      <c r="E53" s="211">
        <v>44363</v>
      </c>
      <c r="F53" t="s">
        <v>218</v>
      </c>
      <c r="G53" t="s">
        <v>219</v>
      </c>
      <c r="H53">
        <v>14</v>
      </c>
      <c r="I53" t="s">
        <v>133</v>
      </c>
      <c r="J53" t="s">
        <v>220</v>
      </c>
      <c r="K53" t="s">
        <v>221</v>
      </c>
      <c r="L53">
        <v>3000</v>
      </c>
      <c r="M53" s="211">
        <v>44402</v>
      </c>
      <c r="N53" s="211">
        <v>44402</v>
      </c>
      <c r="O53" s="212" t="s">
        <v>60</v>
      </c>
      <c r="P53" t="s">
        <v>222</v>
      </c>
      <c r="S53">
        <v>0</v>
      </c>
      <c r="T53">
        <v>0</v>
      </c>
      <c r="U53">
        <v>0</v>
      </c>
      <c r="V53">
        <v>0</v>
      </c>
      <c r="W53">
        <v>0</v>
      </c>
      <c r="X53" s="140">
        <v>3000</v>
      </c>
      <c r="Y53" s="209">
        <f t="shared" si="0"/>
        <v>3000</v>
      </c>
      <c r="Z53">
        <v>0</v>
      </c>
      <c r="AE53"/>
      <c r="AF53"/>
      <c r="AG53" t="s">
        <v>223</v>
      </c>
      <c r="AN53" t="s">
        <v>218</v>
      </c>
      <c r="AO53" t="s">
        <v>224</v>
      </c>
      <c r="AP53" t="s">
        <v>225</v>
      </c>
      <c r="AQ53">
        <v>0.13</v>
      </c>
      <c r="AR53" t="s">
        <v>226</v>
      </c>
    </row>
    <row r="54" hidden="1" spans="1:44">
      <c r="A54" t="s">
        <v>105</v>
      </c>
      <c r="B54" t="s">
        <v>36</v>
      </c>
      <c r="C54" s="209" t="s">
        <v>37</v>
      </c>
      <c r="D54" s="210">
        <v>71020121060810</v>
      </c>
      <c r="E54" s="211">
        <v>44363</v>
      </c>
      <c r="F54" t="s">
        <v>218</v>
      </c>
      <c r="G54" t="s">
        <v>219</v>
      </c>
      <c r="H54">
        <v>15</v>
      </c>
      <c r="I54" t="s">
        <v>133</v>
      </c>
      <c r="J54" t="s">
        <v>220</v>
      </c>
      <c r="K54" t="s">
        <v>221</v>
      </c>
      <c r="L54">
        <v>3000</v>
      </c>
      <c r="M54" s="211">
        <v>44401</v>
      </c>
      <c r="N54" s="211">
        <v>44401</v>
      </c>
      <c r="O54" s="212" t="s">
        <v>60</v>
      </c>
      <c r="P54" t="s">
        <v>222</v>
      </c>
      <c r="S54">
        <v>0</v>
      </c>
      <c r="T54">
        <v>0</v>
      </c>
      <c r="U54">
        <v>0</v>
      </c>
      <c r="V54">
        <v>0</v>
      </c>
      <c r="W54">
        <v>0</v>
      </c>
      <c r="X54" s="140">
        <v>3000</v>
      </c>
      <c r="Y54" s="209">
        <f t="shared" si="0"/>
        <v>3000</v>
      </c>
      <c r="Z54">
        <v>0</v>
      </c>
      <c r="AE54"/>
      <c r="AF54"/>
      <c r="AG54" t="s">
        <v>223</v>
      </c>
      <c r="AN54" t="s">
        <v>218</v>
      </c>
      <c r="AO54" t="s">
        <v>224</v>
      </c>
      <c r="AP54" t="s">
        <v>225</v>
      </c>
      <c r="AQ54">
        <v>0.13</v>
      </c>
      <c r="AR54" t="s">
        <v>226</v>
      </c>
    </row>
    <row r="55" hidden="1" spans="1:44">
      <c r="A55" t="s">
        <v>105</v>
      </c>
      <c r="B55" t="s">
        <v>36</v>
      </c>
      <c r="C55" s="209" t="s">
        <v>37</v>
      </c>
      <c r="D55" s="210">
        <v>71020121060810</v>
      </c>
      <c r="E55" s="211">
        <v>44363</v>
      </c>
      <c r="F55" t="s">
        <v>218</v>
      </c>
      <c r="G55" t="s">
        <v>219</v>
      </c>
      <c r="H55">
        <v>16</v>
      </c>
      <c r="I55" t="s">
        <v>133</v>
      </c>
      <c r="J55" t="s">
        <v>220</v>
      </c>
      <c r="K55" t="s">
        <v>221</v>
      </c>
      <c r="L55">
        <v>3000</v>
      </c>
      <c r="M55" s="211">
        <v>44400</v>
      </c>
      <c r="N55" s="211">
        <v>44400</v>
      </c>
      <c r="O55" s="212" t="s">
        <v>60</v>
      </c>
      <c r="P55" t="s">
        <v>222</v>
      </c>
      <c r="S55">
        <v>0</v>
      </c>
      <c r="T55">
        <v>0</v>
      </c>
      <c r="U55">
        <v>0</v>
      </c>
      <c r="V55">
        <v>0</v>
      </c>
      <c r="W55">
        <v>0</v>
      </c>
      <c r="X55" s="140">
        <v>3000</v>
      </c>
      <c r="Y55" s="209">
        <f t="shared" si="0"/>
        <v>3000</v>
      </c>
      <c r="Z55">
        <v>0</v>
      </c>
      <c r="AE55"/>
      <c r="AF55"/>
      <c r="AG55" t="s">
        <v>223</v>
      </c>
      <c r="AN55" t="s">
        <v>218</v>
      </c>
      <c r="AO55" t="s">
        <v>224</v>
      </c>
      <c r="AP55" t="s">
        <v>225</v>
      </c>
      <c r="AQ55">
        <v>0.13</v>
      </c>
      <c r="AR55" t="s">
        <v>226</v>
      </c>
    </row>
    <row r="56" hidden="1" spans="1:44">
      <c r="A56" t="s">
        <v>105</v>
      </c>
      <c r="B56" t="s">
        <v>36</v>
      </c>
      <c r="C56" s="209" t="s">
        <v>37</v>
      </c>
      <c r="D56" s="210">
        <v>71020121060810</v>
      </c>
      <c r="E56" s="211">
        <v>44363</v>
      </c>
      <c r="F56" t="s">
        <v>218</v>
      </c>
      <c r="G56" t="s">
        <v>219</v>
      </c>
      <c r="H56">
        <v>17</v>
      </c>
      <c r="I56" t="s">
        <v>133</v>
      </c>
      <c r="J56" t="s">
        <v>220</v>
      </c>
      <c r="K56" t="s">
        <v>221</v>
      </c>
      <c r="L56">
        <v>3000</v>
      </c>
      <c r="M56" s="211">
        <v>44399</v>
      </c>
      <c r="N56" s="211">
        <v>44399</v>
      </c>
      <c r="O56" s="212" t="s">
        <v>60</v>
      </c>
      <c r="P56" t="s">
        <v>222</v>
      </c>
      <c r="S56">
        <v>0</v>
      </c>
      <c r="T56">
        <v>0</v>
      </c>
      <c r="U56">
        <v>0</v>
      </c>
      <c r="V56">
        <v>0</v>
      </c>
      <c r="W56">
        <v>0</v>
      </c>
      <c r="X56" s="140">
        <v>3000</v>
      </c>
      <c r="Y56" s="209">
        <f t="shared" si="0"/>
        <v>3000</v>
      </c>
      <c r="Z56">
        <v>0</v>
      </c>
      <c r="AE56"/>
      <c r="AF56"/>
      <c r="AG56" t="s">
        <v>223</v>
      </c>
      <c r="AN56" t="s">
        <v>218</v>
      </c>
      <c r="AO56" t="s">
        <v>224</v>
      </c>
      <c r="AP56" t="s">
        <v>225</v>
      </c>
      <c r="AQ56">
        <v>0.13</v>
      </c>
      <c r="AR56" t="s">
        <v>226</v>
      </c>
    </row>
    <row r="57" hidden="1" spans="1:44">
      <c r="A57" t="s">
        <v>105</v>
      </c>
      <c r="B57" t="s">
        <v>36</v>
      </c>
      <c r="C57" s="209" t="s">
        <v>37</v>
      </c>
      <c r="D57" s="210">
        <v>71020121060810</v>
      </c>
      <c r="E57" s="211">
        <v>44363</v>
      </c>
      <c r="F57" t="s">
        <v>218</v>
      </c>
      <c r="G57" t="s">
        <v>219</v>
      </c>
      <c r="H57">
        <v>21</v>
      </c>
      <c r="I57" t="s">
        <v>232</v>
      </c>
      <c r="J57" t="s">
        <v>220</v>
      </c>
      <c r="K57" t="s">
        <v>221</v>
      </c>
      <c r="L57">
        <v>3200</v>
      </c>
      <c r="M57" s="211">
        <v>44414</v>
      </c>
      <c r="N57" s="211">
        <v>44414</v>
      </c>
      <c r="O57" s="212" t="s">
        <v>227</v>
      </c>
      <c r="P57" t="s">
        <v>222</v>
      </c>
      <c r="S57">
        <v>0</v>
      </c>
      <c r="T57">
        <v>0</v>
      </c>
      <c r="U57">
        <v>0</v>
      </c>
      <c r="V57">
        <v>0</v>
      </c>
      <c r="W57">
        <v>0</v>
      </c>
      <c r="X57" s="140">
        <v>3200</v>
      </c>
      <c r="Y57" s="209">
        <f t="shared" si="0"/>
        <v>3200</v>
      </c>
      <c r="Z57">
        <v>0</v>
      </c>
      <c r="AE57"/>
      <c r="AF57"/>
      <c r="AG57" t="s">
        <v>223</v>
      </c>
      <c r="AN57" t="s">
        <v>218</v>
      </c>
      <c r="AO57" t="s">
        <v>224</v>
      </c>
      <c r="AP57" t="s">
        <v>225</v>
      </c>
      <c r="AQ57">
        <v>0.13</v>
      </c>
      <c r="AR57" t="s">
        <v>226</v>
      </c>
    </row>
    <row r="58" hidden="1" spans="1:44">
      <c r="A58" t="s">
        <v>105</v>
      </c>
      <c r="B58" t="s">
        <v>36</v>
      </c>
      <c r="C58" s="209" t="s">
        <v>37</v>
      </c>
      <c r="D58" s="210">
        <v>71020121060810</v>
      </c>
      <c r="E58" s="211">
        <v>44363</v>
      </c>
      <c r="F58" t="s">
        <v>218</v>
      </c>
      <c r="G58" t="s">
        <v>219</v>
      </c>
      <c r="H58">
        <v>22</v>
      </c>
      <c r="I58" t="s">
        <v>232</v>
      </c>
      <c r="J58" t="s">
        <v>220</v>
      </c>
      <c r="K58" t="s">
        <v>221</v>
      </c>
      <c r="L58">
        <v>4500</v>
      </c>
      <c r="M58" s="211">
        <v>44413</v>
      </c>
      <c r="N58" s="211">
        <v>44413</v>
      </c>
      <c r="O58" s="212" t="s">
        <v>227</v>
      </c>
      <c r="P58" t="s">
        <v>222</v>
      </c>
      <c r="S58">
        <v>0</v>
      </c>
      <c r="T58">
        <v>0</v>
      </c>
      <c r="U58">
        <v>0</v>
      </c>
      <c r="V58">
        <v>0</v>
      </c>
      <c r="W58">
        <v>0</v>
      </c>
      <c r="X58" s="140">
        <v>4500</v>
      </c>
      <c r="Y58" s="209">
        <f t="shared" si="0"/>
        <v>4500</v>
      </c>
      <c r="Z58">
        <v>0</v>
      </c>
      <c r="AE58"/>
      <c r="AF58"/>
      <c r="AG58" t="s">
        <v>223</v>
      </c>
      <c r="AN58" t="s">
        <v>218</v>
      </c>
      <c r="AO58" t="s">
        <v>224</v>
      </c>
      <c r="AP58" t="s">
        <v>225</v>
      </c>
      <c r="AQ58">
        <v>0.13</v>
      </c>
      <c r="AR58" t="s">
        <v>226</v>
      </c>
    </row>
    <row r="59" hidden="1" spans="1:44">
      <c r="A59" t="s">
        <v>105</v>
      </c>
      <c r="B59" t="s">
        <v>36</v>
      </c>
      <c r="C59" s="209" t="s">
        <v>37</v>
      </c>
      <c r="D59" s="210">
        <v>71020121060810</v>
      </c>
      <c r="E59" s="211">
        <v>44363</v>
      </c>
      <c r="F59" t="s">
        <v>218</v>
      </c>
      <c r="G59" t="s">
        <v>219</v>
      </c>
      <c r="H59">
        <v>23</v>
      </c>
      <c r="I59" t="s">
        <v>233</v>
      </c>
      <c r="J59" t="s">
        <v>220</v>
      </c>
      <c r="K59" t="s">
        <v>221</v>
      </c>
      <c r="L59">
        <v>2000</v>
      </c>
      <c r="M59" s="211">
        <v>44414</v>
      </c>
      <c r="N59" s="211">
        <v>44414</v>
      </c>
      <c r="O59" s="212" t="s">
        <v>227</v>
      </c>
      <c r="P59" t="s">
        <v>222</v>
      </c>
      <c r="S59">
        <v>0</v>
      </c>
      <c r="T59">
        <v>0</v>
      </c>
      <c r="U59">
        <v>0</v>
      </c>
      <c r="V59">
        <v>0</v>
      </c>
      <c r="W59">
        <v>0</v>
      </c>
      <c r="X59" s="140">
        <v>2000</v>
      </c>
      <c r="Y59" s="209">
        <f t="shared" si="0"/>
        <v>2000</v>
      </c>
      <c r="Z59">
        <v>0</v>
      </c>
      <c r="AE59"/>
      <c r="AF59"/>
      <c r="AG59" t="s">
        <v>223</v>
      </c>
      <c r="AN59" t="s">
        <v>218</v>
      </c>
      <c r="AO59" t="s">
        <v>224</v>
      </c>
      <c r="AP59" t="s">
        <v>225</v>
      </c>
      <c r="AQ59">
        <v>0.13</v>
      </c>
      <c r="AR59" t="s">
        <v>226</v>
      </c>
    </row>
    <row r="60" hidden="1" spans="1:44">
      <c r="A60" t="s">
        <v>105</v>
      </c>
      <c r="B60" t="s">
        <v>36</v>
      </c>
      <c r="C60" s="209" t="s">
        <v>37</v>
      </c>
      <c r="D60" s="210">
        <v>71020121060810</v>
      </c>
      <c r="E60" s="211">
        <v>44363</v>
      </c>
      <c r="F60" t="s">
        <v>218</v>
      </c>
      <c r="G60" t="s">
        <v>219</v>
      </c>
      <c r="H60">
        <v>24</v>
      </c>
      <c r="I60" t="s">
        <v>233</v>
      </c>
      <c r="J60" t="s">
        <v>220</v>
      </c>
      <c r="K60" t="s">
        <v>221</v>
      </c>
      <c r="L60">
        <v>4500</v>
      </c>
      <c r="M60" s="211">
        <v>44413</v>
      </c>
      <c r="N60" s="211">
        <v>44413</v>
      </c>
      <c r="O60" s="212" t="s">
        <v>227</v>
      </c>
      <c r="P60" t="s">
        <v>222</v>
      </c>
      <c r="S60">
        <v>0</v>
      </c>
      <c r="T60">
        <v>0</v>
      </c>
      <c r="U60">
        <v>0</v>
      </c>
      <c r="V60">
        <v>0</v>
      </c>
      <c r="W60">
        <v>0</v>
      </c>
      <c r="X60" s="140">
        <v>4500</v>
      </c>
      <c r="Y60" s="209">
        <f t="shared" si="0"/>
        <v>4500</v>
      </c>
      <c r="Z60">
        <v>0</v>
      </c>
      <c r="AE60"/>
      <c r="AF60"/>
      <c r="AG60" t="s">
        <v>223</v>
      </c>
      <c r="AN60" t="s">
        <v>218</v>
      </c>
      <c r="AO60" t="s">
        <v>224</v>
      </c>
      <c r="AP60" t="s">
        <v>225</v>
      </c>
      <c r="AQ60">
        <v>0.13</v>
      </c>
      <c r="AR60" t="s">
        <v>226</v>
      </c>
    </row>
    <row r="61" hidden="1" spans="1:44">
      <c r="A61" t="s">
        <v>105</v>
      </c>
      <c r="B61" t="s">
        <v>36</v>
      </c>
      <c r="C61" s="209" t="s">
        <v>37</v>
      </c>
      <c r="D61" s="210">
        <v>71020121060810</v>
      </c>
      <c r="E61" s="211">
        <v>44363</v>
      </c>
      <c r="F61" t="s">
        <v>218</v>
      </c>
      <c r="G61" t="s">
        <v>219</v>
      </c>
      <c r="H61">
        <v>25</v>
      </c>
      <c r="I61" t="s">
        <v>233</v>
      </c>
      <c r="J61" t="s">
        <v>220</v>
      </c>
      <c r="K61" t="s">
        <v>221</v>
      </c>
      <c r="L61">
        <v>4500</v>
      </c>
      <c r="M61" s="211">
        <v>44412</v>
      </c>
      <c r="N61" s="211">
        <v>44412</v>
      </c>
      <c r="O61" s="212" t="s">
        <v>227</v>
      </c>
      <c r="P61" t="s">
        <v>222</v>
      </c>
      <c r="S61">
        <v>0</v>
      </c>
      <c r="T61">
        <v>0</v>
      </c>
      <c r="U61">
        <v>0</v>
      </c>
      <c r="V61">
        <v>0</v>
      </c>
      <c r="W61">
        <v>0</v>
      </c>
      <c r="X61" s="140">
        <v>4500</v>
      </c>
      <c r="Y61" s="209">
        <f t="shared" si="0"/>
        <v>4500</v>
      </c>
      <c r="Z61">
        <v>0</v>
      </c>
      <c r="AE61"/>
      <c r="AF61"/>
      <c r="AG61" t="s">
        <v>223</v>
      </c>
      <c r="AN61" t="s">
        <v>218</v>
      </c>
      <c r="AO61" t="s">
        <v>224</v>
      </c>
      <c r="AP61" t="s">
        <v>225</v>
      </c>
      <c r="AQ61">
        <v>0.13</v>
      </c>
      <c r="AR61" t="s">
        <v>226</v>
      </c>
    </row>
    <row r="62" hidden="1" spans="1:44">
      <c r="A62" t="s">
        <v>105</v>
      </c>
      <c r="B62" t="s">
        <v>36</v>
      </c>
      <c r="C62" s="209" t="s">
        <v>37</v>
      </c>
      <c r="D62" s="210">
        <v>71020121060810</v>
      </c>
      <c r="E62" s="211">
        <v>44363</v>
      </c>
      <c r="F62" t="s">
        <v>218</v>
      </c>
      <c r="G62" t="s">
        <v>219</v>
      </c>
      <c r="H62">
        <v>26</v>
      </c>
      <c r="I62" t="s">
        <v>130</v>
      </c>
      <c r="J62" t="s">
        <v>229</v>
      </c>
      <c r="K62" t="s">
        <v>221</v>
      </c>
      <c r="L62">
        <v>2300</v>
      </c>
      <c r="M62" s="211">
        <v>44412</v>
      </c>
      <c r="N62" s="211">
        <v>44412</v>
      </c>
      <c r="O62" s="212" t="s">
        <v>227</v>
      </c>
      <c r="P62" t="s">
        <v>222</v>
      </c>
      <c r="S62">
        <v>0</v>
      </c>
      <c r="T62">
        <v>0</v>
      </c>
      <c r="U62">
        <v>0</v>
      </c>
      <c r="V62">
        <v>0</v>
      </c>
      <c r="W62">
        <v>0</v>
      </c>
      <c r="X62" s="140">
        <v>2300</v>
      </c>
      <c r="Y62" s="209">
        <f t="shared" si="0"/>
        <v>2300</v>
      </c>
      <c r="Z62">
        <v>0</v>
      </c>
      <c r="AE62"/>
      <c r="AF62"/>
      <c r="AG62" t="s">
        <v>223</v>
      </c>
      <c r="AN62" t="s">
        <v>218</v>
      </c>
      <c r="AO62" t="s">
        <v>224</v>
      </c>
      <c r="AP62" t="s">
        <v>225</v>
      </c>
      <c r="AQ62">
        <v>0.13</v>
      </c>
      <c r="AR62" t="s">
        <v>226</v>
      </c>
    </row>
    <row r="63" hidden="1" spans="1:44">
      <c r="A63" t="s">
        <v>105</v>
      </c>
      <c r="B63" t="s">
        <v>36</v>
      </c>
      <c r="C63" s="209" t="s">
        <v>37</v>
      </c>
      <c r="D63" s="210">
        <v>71020121060810</v>
      </c>
      <c r="E63" s="211">
        <v>44363</v>
      </c>
      <c r="F63" t="s">
        <v>218</v>
      </c>
      <c r="G63" t="s">
        <v>219</v>
      </c>
      <c r="H63">
        <v>27</v>
      </c>
      <c r="I63" t="s">
        <v>234</v>
      </c>
      <c r="J63" t="s">
        <v>229</v>
      </c>
      <c r="K63" t="s">
        <v>221</v>
      </c>
      <c r="L63">
        <v>3700</v>
      </c>
      <c r="M63" s="211">
        <v>44411</v>
      </c>
      <c r="N63" s="211">
        <v>44411</v>
      </c>
      <c r="O63" s="212" t="s">
        <v>227</v>
      </c>
      <c r="P63" t="s">
        <v>222</v>
      </c>
      <c r="S63">
        <v>0</v>
      </c>
      <c r="T63">
        <v>0</v>
      </c>
      <c r="U63">
        <v>0</v>
      </c>
      <c r="V63">
        <v>0</v>
      </c>
      <c r="W63">
        <v>0</v>
      </c>
      <c r="X63" s="140">
        <v>3700</v>
      </c>
      <c r="Y63" s="209">
        <f t="shared" si="0"/>
        <v>3700</v>
      </c>
      <c r="Z63">
        <v>0</v>
      </c>
      <c r="AE63"/>
      <c r="AF63"/>
      <c r="AG63" t="s">
        <v>223</v>
      </c>
      <c r="AN63" t="s">
        <v>218</v>
      </c>
      <c r="AO63" t="s">
        <v>224</v>
      </c>
      <c r="AP63" t="s">
        <v>225</v>
      </c>
      <c r="AQ63">
        <v>0.13</v>
      </c>
      <c r="AR63" t="s">
        <v>226</v>
      </c>
    </row>
    <row r="64" hidden="1" spans="1:44">
      <c r="A64" t="s">
        <v>105</v>
      </c>
      <c r="B64" t="s">
        <v>36</v>
      </c>
      <c r="C64" s="209" t="s">
        <v>37</v>
      </c>
      <c r="D64" s="210">
        <v>71020121060810</v>
      </c>
      <c r="E64" s="211">
        <v>44363</v>
      </c>
      <c r="F64" t="s">
        <v>218</v>
      </c>
      <c r="G64" t="s">
        <v>219</v>
      </c>
      <c r="H64">
        <v>28</v>
      </c>
      <c r="I64" t="s">
        <v>235</v>
      </c>
      <c r="J64" t="s">
        <v>228</v>
      </c>
      <c r="K64" t="s">
        <v>221</v>
      </c>
      <c r="L64">
        <v>3500</v>
      </c>
      <c r="M64" s="211">
        <v>44411</v>
      </c>
      <c r="N64" s="211">
        <v>44411</v>
      </c>
      <c r="O64" s="212" t="s">
        <v>227</v>
      </c>
      <c r="P64" t="s">
        <v>222</v>
      </c>
      <c r="S64">
        <v>0</v>
      </c>
      <c r="T64">
        <v>0</v>
      </c>
      <c r="U64">
        <v>0</v>
      </c>
      <c r="V64">
        <v>0</v>
      </c>
      <c r="W64">
        <v>0</v>
      </c>
      <c r="X64" s="140">
        <v>3500</v>
      </c>
      <c r="Y64" s="209">
        <f t="shared" si="0"/>
        <v>3500</v>
      </c>
      <c r="Z64">
        <v>0</v>
      </c>
      <c r="AE64"/>
      <c r="AF64"/>
      <c r="AG64" t="s">
        <v>223</v>
      </c>
      <c r="AN64" t="s">
        <v>218</v>
      </c>
      <c r="AO64" t="s">
        <v>224</v>
      </c>
      <c r="AP64" t="s">
        <v>225</v>
      </c>
      <c r="AQ64">
        <v>0.13</v>
      </c>
      <c r="AR64" t="s">
        <v>226</v>
      </c>
    </row>
    <row r="65" hidden="1" spans="1:44">
      <c r="A65" t="s">
        <v>105</v>
      </c>
      <c r="B65" t="s">
        <v>36</v>
      </c>
      <c r="C65" s="209" t="s">
        <v>37</v>
      </c>
      <c r="D65" s="210">
        <v>71020121060810</v>
      </c>
      <c r="E65" s="211">
        <v>44363</v>
      </c>
      <c r="F65" t="s">
        <v>218</v>
      </c>
      <c r="G65" t="s">
        <v>219</v>
      </c>
      <c r="H65">
        <v>29</v>
      </c>
      <c r="I65" t="s">
        <v>127</v>
      </c>
      <c r="J65" t="s">
        <v>228</v>
      </c>
      <c r="K65" t="s">
        <v>221</v>
      </c>
      <c r="L65">
        <v>5000</v>
      </c>
      <c r="M65" s="211">
        <v>44405</v>
      </c>
      <c r="N65" s="211">
        <v>44405</v>
      </c>
      <c r="O65" s="212" t="s">
        <v>60</v>
      </c>
      <c r="P65" t="s">
        <v>222</v>
      </c>
      <c r="S65">
        <v>0</v>
      </c>
      <c r="T65">
        <v>0</v>
      </c>
      <c r="U65">
        <v>0</v>
      </c>
      <c r="V65">
        <v>0</v>
      </c>
      <c r="W65">
        <v>0</v>
      </c>
      <c r="X65" s="140">
        <v>5000</v>
      </c>
      <c r="Y65" s="209">
        <f t="shared" si="0"/>
        <v>5000</v>
      </c>
      <c r="Z65">
        <v>0</v>
      </c>
      <c r="AE65"/>
      <c r="AF65"/>
      <c r="AG65" t="s">
        <v>223</v>
      </c>
      <c r="AN65" t="s">
        <v>218</v>
      </c>
      <c r="AO65" t="s">
        <v>224</v>
      </c>
      <c r="AP65" t="s">
        <v>225</v>
      </c>
      <c r="AQ65">
        <v>0.13</v>
      </c>
      <c r="AR65" t="s">
        <v>226</v>
      </c>
    </row>
    <row r="66" hidden="1" spans="1:44">
      <c r="A66" t="s">
        <v>105</v>
      </c>
      <c r="B66" t="s">
        <v>36</v>
      </c>
      <c r="C66" s="209" t="s">
        <v>37</v>
      </c>
      <c r="D66" s="210">
        <v>71020121060810</v>
      </c>
      <c r="E66" s="211">
        <v>44363</v>
      </c>
      <c r="F66" t="s">
        <v>218</v>
      </c>
      <c r="G66" t="s">
        <v>219</v>
      </c>
      <c r="H66">
        <v>30</v>
      </c>
      <c r="I66" t="s">
        <v>127</v>
      </c>
      <c r="J66" t="s">
        <v>228</v>
      </c>
      <c r="K66" t="s">
        <v>221</v>
      </c>
      <c r="L66">
        <v>4500</v>
      </c>
      <c r="M66" s="211">
        <v>44404</v>
      </c>
      <c r="N66" s="211">
        <v>44404</v>
      </c>
      <c r="O66" s="212" t="s">
        <v>60</v>
      </c>
      <c r="P66" t="s">
        <v>222</v>
      </c>
      <c r="S66">
        <v>0</v>
      </c>
      <c r="T66">
        <v>0</v>
      </c>
      <c r="U66">
        <v>0</v>
      </c>
      <c r="V66">
        <v>0</v>
      </c>
      <c r="W66">
        <v>0</v>
      </c>
      <c r="X66" s="140">
        <v>4500</v>
      </c>
      <c r="Y66" s="209">
        <f t="shared" si="0"/>
        <v>4500</v>
      </c>
      <c r="Z66">
        <v>0</v>
      </c>
      <c r="AE66"/>
      <c r="AF66"/>
      <c r="AG66" t="s">
        <v>223</v>
      </c>
      <c r="AN66" t="s">
        <v>218</v>
      </c>
      <c r="AO66" t="s">
        <v>224</v>
      </c>
      <c r="AP66" t="s">
        <v>225</v>
      </c>
      <c r="AQ66">
        <v>0.13</v>
      </c>
      <c r="AR66" t="s">
        <v>226</v>
      </c>
    </row>
    <row r="67" hidden="1" spans="1:44">
      <c r="A67" t="s">
        <v>105</v>
      </c>
      <c r="B67" t="s">
        <v>36</v>
      </c>
      <c r="C67" s="209" t="s">
        <v>37</v>
      </c>
      <c r="D67" s="210">
        <v>71020121060810</v>
      </c>
      <c r="E67" s="211">
        <v>44363</v>
      </c>
      <c r="F67" t="s">
        <v>218</v>
      </c>
      <c r="G67" t="s">
        <v>219</v>
      </c>
      <c r="H67">
        <v>31</v>
      </c>
      <c r="I67" t="s">
        <v>127</v>
      </c>
      <c r="J67" t="s">
        <v>228</v>
      </c>
      <c r="K67" t="s">
        <v>221</v>
      </c>
      <c r="L67">
        <v>4500</v>
      </c>
      <c r="M67" s="211">
        <v>44403</v>
      </c>
      <c r="N67" s="211">
        <v>44403</v>
      </c>
      <c r="O67" s="212" t="s">
        <v>60</v>
      </c>
      <c r="P67" t="s">
        <v>222</v>
      </c>
      <c r="S67">
        <v>0</v>
      </c>
      <c r="T67">
        <v>0</v>
      </c>
      <c r="U67">
        <v>0</v>
      </c>
      <c r="V67">
        <v>0</v>
      </c>
      <c r="W67">
        <v>0</v>
      </c>
      <c r="X67" s="140">
        <v>4500</v>
      </c>
      <c r="Y67" s="209">
        <f t="shared" ref="Y67:Y130" si="1">L67-S67</f>
        <v>4500</v>
      </c>
      <c r="Z67">
        <v>0</v>
      </c>
      <c r="AE67"/>
      <c r="AF67"/>
      <c r="AG67" t="s">
        <v>223</v>
      </c>
      <c r="AN67" t="s">
        <v>218</v>
      </c>
      <c r="AO67" t="s">
        <v>224</v>
      </c>
      <c r="AP67" t="s">
        <v>225</v>
      </c>
      <c r="AQ67">
        <v>0.13</v>
      </c>
      <c r="AR67" t="s">
        <v>226</v>
      </c>
    </row>
    <row r="68" hidden="1" spans="1:44">
      <c r="A68" t="s">
        <v>105</v>
      </c>
      <c r="B68" t="s">
        <v>36</v>
      </c>
      <c r="C68" s="209" t="s">
        <v>37</v>
      </c>
      <c r="D68" s="210">
        <v>71020121060810</v>
      </c>
      <c r="E68" s="211">
        <v>44363</v>
      </c>
      <c r="F68" t="s">
        <v>218</v>
      </c>
      <c r="G68" t="s">
        <v>219</v>
      </c>
      <c r="H68">
        <v>32</v>
      </c>
      <c r="I68" t="s">
        <v>236</v>
      </c>
      <c r="J68" t="s">
        <v>220</v>
      </c>
      <c r="K68" t="s">
        <v>221</v>
      </c>
      <c r="L68">
        <v>4400</v>
      </c>
      <c r="M68" s="211">
        <v>44411</v>
      </c>
      <c r="N68" s="211">
        <v>44411</v>
      </c>
      <c r="O68" s="212" t="s">
        <v>227</v>
      </c>
      <c r="P68" t="s">
        <v>222</v>
      </c>
      <c r="S68">
        <v>0</v>
      </c>
      <c r="T68">
        <v>0</v>
      </c>
      <c r="U68">
        <v>0</v>
      </c>
      <c r="V68">
        <v>0</v>
      </c>
      <c r="W68">
        <v>0</v>
      </c>
      <c r="X68" s="140">
        <v>4400</v>
      </c>
      <c r="Y68" s="209">
        <f t="shared" si="1"/>
        <v>4400</v>
      </c>
      <c r="Z68">
        <v>0</v>
      </c>
      <c r="AE68"/>
      <c r="AF68"/>
      <c r="AG68" t="s">
        <v>223</v>
      </c>
      <c r="AN68" t="s">
        <v>218</v>
      </c>
      <c r="AO68" t="s">
        <v>224</v>
      </c>
      <c r="AP68" t="s">
        <v>225</v>
      </c>
      <c r="AQ68">
        <v>0.13</v>
      </c>
      <c r="AR68" t="s">
        <v>226</v>
      </c>
    </row>
    <row r="69" hidden="1" spans="1:44">
      <c r="A69" t="s">
        <v>105</v>
      </c>
      <c r="B69" t="s">
        <v>36</v>
      </c>
      <c r="C69" s="209" t="s">
        <v>37</v>
      </c>
      <c r="D69" s="210">
        <v>71020121060810</v>
      </c>
      <c r="E69" s="211">
        <v>44363</v>
      </c>
      <c r="F69" t="s">
        <v>218</v>
      </c>
      <c r="G69" t="s">
        <v>219</v>
      </c>
      <c r="H69">
        <v>34</v>
      </c>
      <c r="I69" t="s">
        <v>237</v>
      </c>
      <c r="J69" t="s">
        <v>229</v>
      </c>
      <c r="K69" t="s">
        <v>221</v>
      </c>
      <c r="L69">
        <v>1500</v>
      </c>
      <c r="M69" s="211">
        <v>44416</v>
      </c>
      <c r="N69" s="211">
        <v>44416</v>
      </c>
      <c r="O69" s="212" t="s">
        <v>227</v>
      </c>
      <c r="P69" t="s">
        <v>222</v>
      </c>
      <c r="S69">
        <v>0</v>
      </c>
      <c r="T69">
        <v>0</v>
      </c>
      <c r="U69">
        <v>0</v>
      </c>
      <c r="V69">
        <v>0</v>
      </c>
      <c r="W69">
        <v>0</v>
      </c>
      <c r="X69" s="140">
        <v>1500</v>
      </c>
      <c r="Y69" s="209">
        <f t="shared" si="1"/>
        <v>1500</v>
      </c>
      <c r="Z69">
        <v>0</v>
      </c>
      <c r="AE69"/>
      <c r="AF69"/>
      <c r="AG69" t="s">
        <v>223</v>
      </c>
      <c r="AN69" t="s">
        <v>218</v>
      </c>
      <c r="AO69" t="s">
        <v>224</v>
      </c>
      <c r="AP69" t="s">
        <v>225</v>
      </c>
      <c r="AQ69">
        <v>0.13</v>
      </c>
      <c r="AR69" t="s">
        <v>226</v>
      </c>
    </row>
    <row r="70" hidden="1" spans="1:44">
      <c r="A70" t="s">
        <v>105</v>
      </c>
      <c r="B70" t="s">
        <v>36</v>
      </c>
      <c r="C70" s="209" t="s">
        <v>37</v>
      </c>
      <c r="D70" s="210">
        <v>71020121060988</v>
      </c>
      <c r="E70" s="211">
        <v>44369</v>
      </c>
      <c r="F70" t="s">
        <v>218</v>
      </c>
      <c r="G70" t="s">
        <v>219</v>
      </c>
      <c r="H70">
        <v>1</v>
      </c>
      <c r="I70" t="s">
        <v>232</v>
      </c>
      <c r="J70" t="s">
        <v>220</v>
      </c>
      <c r="K70" t="s">
        <v>221</v>
      </c>
      <c r="L70">
        <v>3800</v>
      </c>
      <c r="M70" s="211">
        <v>44417</v>
      </c>
      <c r="N70" s="211">
        <v>44417</v>
      </c>
      <c r="O70" s="212" t="s">
        <v>227</v>
      </c>
      <c r="P70" t="s">
        <v>222</v>
      </c>
      <c r="S70">
        <v>0</v>
      </c>
      <c r="T70">
        <v>0</v>
      </c>
      <c r="U70">
        <v>0</v>
      </c>
      <c r="V70">
        <v>0</v>
      </c>
      <c r="W70">
        <v>0</v>
      </c>
      <c r="X70" s="140">
        <v>3800</v>
      </c>
      <c r="Y70" s="209">
        <f t="shared" si="1"/>
        <v>3800</v>
      </c>
      <c r="Z70">
        <v>0</v>
      </c>
      <c r="AE70"/>
      <c r="AF70"/>
      <c r="AG70" t="s">
        <v>223</v>
      </c>
      <c r="AN70" t="s">
        <v>218</v>
      </c>
      <c r="AO70" t="s">
        <v>224</v>
      </c>
      <c r="AP70" t="s">
        <v>225</v>
      </c>
      <c r="AQ70">
        <v>0.13</v>
      </c>
      <c r="AR70" t="s">
        <v>238</v>
      </c>
    </row>
    <row r="71" hidden="1" spans="1:44">
      <c r="A71" t="s">
        <v>105</v>
      </c>
      <c r="B71" t="s">
        <v>36</v>
      </c>
      <c r="C71" s="209" t="s">
        <v>37</v>
      </c>
      <c r="D71" s="210">
        <v>71020121060988</v>
      </c>
      <c r="E71" s="211">
        <v>44369</v>
      </c>
      <c r="F71" t="s">
        <v>218</v>
      </c>
      <c r="G71" t="s">
        <v>219</v>
      </c>
      <c r="H71">
        <v>2</v>
      </c>
      <c r="I71" t="s">
        <v>124</v>
      </c>
      <c r="J71" t="s">
        <v>228</v>
      </c>
      <c r="K71" t="s">
        <v>221</v>
      </c>
      <c r="L71">
        <v>5450</v>
      </c>
      <c r="M71" s="211">
        <v>44425</v>
      </c>
      <c r="N71" s="211">
        <v>44425</v>
      </c>
      <c r="O71" s="212" t="s">
        <v>227</v>
      </c>
      <c r="P71" t="s">
        <v>222</v>
      </c>
      <c r="S71">
        <v>0</v>
      </c>
      <c r="T71">
        <v>0</v>
      </c>
      <c r="U71">
        <v>0</v>
      </c>
      <c r="V71">
        <v>0</v>
      </c>
      <c r="W71">
        <v>0</v>
      </c>
      <c r="X71" s="140">
        <v>5450</v>
      </c>
      <c r="Y71" s="209">
        <f t="shared" si="1"/>
        <v>5450</v>
      </c>
      <c r="Z71">
        <v>0</v>
      </c>
      <c r="AE71"/>
      <c r="AF71"/>
      <c r="AG71" t="s">
        <v>223</v>
      </c>
      <c r="AN71" t="s">
        <v>218</v>
      </c>
      <c r="AO71" t="s">
        <v>224</v>
      </c>
      <c r="AP71" t="s">
        <v>225</v>
      </c>
      <c r="AQ71">
        <v>0.13</v>
      </c>
      <c r="AR71" t="s">
        <v>238</v>
      </c>
    </row>
    <row r="72" hidden="1" spans="1:44">
      <c r="A72" t="s">
        <v>105</v>
      </c>
      <c r="B72" t="s">
        <v>36</v>
      </c>
      <c r="C72" s="209" t="s">
        <v>37</v>
      </c>
      <c r="D72" s="210">
        <v>71020121060988</v>
      </c>
      <c r="E72" s="211">
        <v>44369</v>
      </c>
      <c r="F72" t="s">
        <v>218</v>
      </c>
      <c r="G72" t="s">
        <v>219</v>
      </c>
      <c r="H72">
        <v>3</v>
      </c>
      <c r="I72" t="s">
        <v>239</v>
      </c>
      <c r="J72" t="s">
        <v>228</v>
      </c>
      <c r="K72" t="s">
        <v>221</v>
      </c>
      <c r="L72">
        <v>1700</v>
      </c>
      <c r="M72" s="211">
        <v>44423</v>
      </c>
      <c r="N72" s="211">
        <v>44423</v>
      </c>
      <c r="O72" s="212" t="s">
        <v>227</v>
      </c>
      <c r="P72" t="s">
        <v>222</v>
      </c>
      <c r="S72">
        <v>0</v>
      </c>
      <c r="T72">
        <v>0</v>
      </c>
      <c r="U72">
        <v>0</v>
      </c>
      <c r="V72">
        <v>0</v>
      </c>
      <c r="W72">
        <v>0</v>
      </c>
      <c r="X72" s="140">
        <v>1700</v>
      </c>
      <c r="Y72" s="209">
        <f t="shared" si="1"/>
        <v>1700</v>
      </c>
      <c r="Z72">
        <v>0</v>
      </c>
      <c r="AE72"/>
      <c r="AF72"/>
      <c r="AG72" t="s">
        <v>223</v>
      </c>
      <c r="AN72" t="s">
        <v>218</v>
      </c>
      <c r="AO72" t="s">
        <v>224</v>
      </c>
      <c r="AP72" t="s">
        <v>225</v>
      </c>
      <c r="AQ72">
        <v>0.13</v>
      </c>
      <c r="AR72" t="s">
        <v>238</v>
      </c>
    </row>
    <row r="73" hidden="1" spans="1:44">
      <c r="A73" t="s">
        <v>105</v>
      </c>
      <c r="B73" t="s">
        <v>36</v>
      </c>
      <c r="C73" s="209" t="s">
        <v>37</v>
      </c>
      <c r="D73" s="210">
        <v>71020121060988</v>
      </c>
      <c r="E73" s="211">
        <v>44369</v>
      </c>
      <c r="F73" t="s">
        <v>218</v>
      </c>
      <c r="G73" t="s">
        <v>219</v>
      </c>
      <c r="H73">
        <v>4</v>
      </c>
      <c r="I73" t="s">
        <v>239</v>
      </c>
      <c r="J73" t="s">
        <v>228</v>
      </c>
      <c r="K73" t="s">
        <v>221</v>
      </c>
      <c r="L73">
        <v>1620</v>
      </c>
      <c r="M73" s="211">
        <v>44409</v>
      </c>
      <c r="N73" s="211">
        <v>44409</v>
      </c>
      <c r="O73" s="212" t="s">
        <v>227</v>
      </c>
      <c r="P73" t="s">
        <v>222</v>
      </c>
      <c r="S73">
        <v>0</v>
      </c>
      <c r="T73">
        <v>0</v>
      </c>
      <c r="U73">
        <v>0</v>
      </c>
      <c r="V73">
        <v>0</v>
      </c>
      <c r="W73">
        <v>0</v>
      </c>
      <c r="X73" s="140">
        <v>1620</v>
      </c>
      <c r="Y73" s="209">
        <f t="shared" si="1"/>
        <v>1620</v>
      </c>
      <c r="Z73">
        <v>0</v>
      </c>
      <c r="AE73"/>
      <c r="AF73"/>
      <c r="AG73" t="s">
        <v>223</v>
      </c>
      <c r="AN73" t="s">
        <v>218</v>
      </c>
      <c r="AO73" t="s">
        <v>224</v>
      </c>
      <c r="AP73" t="s">
        <v>225</v>
      </c>
      <c r="AQ73">
        <v>0.13</v>
      </c>
      <c r="AR73" t="s">
        <v>238</v>
      </c>
    </row>
    <row r="74" hidden="1" spans="1:44">
      <c r="A74" t="s">
        <v>105</v>
      </c>
      <c r="B74" t="s">
        <v>36</v>
      </c>
      <c r="C74" s="209" t="s">
        <v>37</v>
      </c>
      <c r="D74" s="210">
        <v>71020121060988</v>
      </c>
      <c r="E74" s="211">
        <v>44369</v>
      </c>
      <c r="F74" t="s">
        <v>218</v>
      </c>
      <c r="G74" t="s">
        <v>219</v>
      </c>
      <c r="H74">
        <v>5</v>
      </c>
      <c r="I74" t="s">
        <v>135</v>
      </c>
      <c r="J74" t="s">
        <v>220</v>
      </c>
      <c r="K74" t="s">
        <v>221</v>
      </c>
      <c r="L74">
        <v>700</v>
      </c>
      <c r="M74" s="211">
        <v>44390</v>
      </c>
      <c r="N74" s="211">
        <v>44390</v>
      </c>
      <c r="O74" s="212" t="s">
        <v>60</v>
      </c>
      <c r="P74" t="s">
        <v>222</v>
      </c>
      <c r="S74">
        <v>0</v>
      </c>
      <c r="T74">
        <v>0</v>
      </c>
      <c r="U74">
        <v>0</v>
      </c>
      <c r="V74">
        <v>0</v>
      </c>
      <c r="W74">
        <v>0</v>
      </c>
      <c r="X74" s="140">
        <v>700</v>
      </c>
      <c r="Y74" s="209">
        <f t="shared" si="1"/>
        <v>700</v>
      </c>
      <c r="Z74">
        <v>0</v>
      </c>
      <c r="AE74"/>
      <c r="AF74"/>
      <c r="AG74" t="s">
        <v>223</v>
      </c>
      <c r="AN74" t="s">
        <v>218</v>
      </c>
      <c r="AO74" t="s">
        <v>224</v>
      </c>
      <c r="AP74" t="s">
        <v>225</v>
      </c>
      <c r="AQ74">
        <v>0.13</v>
      </c>
      <c r="AR74" t="s">
        <v>238</v>
      </c>
    </row>
    <row r="75" hidden="1" spans="1:44">
      <c r="A75" t="s">
        <v>105</v>
      </c>
      <c r="B75" t="s">
        <v>36</v>
      </c>
      <c r="C75" s="209" t="s">
        <v>37</v>
      </c>
      <c r="D75" s="210">
        <v>71020121060988</v>
      </c>
      <c r="E75" s="211">
        <v>44369</v>
      </c>
      <c r="F75" t="s">
        <v>218</v>
      </c>
      <c r="G75" t="s">
        <v>219</v>
      </c>
      <c r="H75">
        <v>6</v>
      </c>
      <c r="I75" t="s">
        <v>135</v>
      </c>
      <c r="J75" t="s">
        <v>220</v>
      </c>
      <c r="K75" t="s">
        <v>221</v>
      </c>
      <c r="L75">
        <v>1000</v>
      </c>
      <c r="M75" s="211">
        <v>44397</v>
      </c>
      <c r="N75" s="211">
        <v>44397</v>
      </c>
      <c r="O75" s="212" t="s">
        <v>60</v>
      </c>
      <c r="P75" t="s">
        <v>222</v>
      </c>
      <c r="S75">
        <v>0</v>
      </c>
      <c r="T75">
        <v>0</v>
      </c>
      <c r="U75">
        <v>0</v>
      </c>
      <c r="V75">
        <v>0</v>
      </c>
      <c r="W75">
        <v>0</v>
      </c>
      <c r="X75" s="140">
        <v>1000</v>
      </c>
      <c r="Y75" s="209">
        <f t="shared" si="1"/>
        <v>1000</v>
      </c>
      <c r="Z75">
        <v>0</v>
      </c>
      <c r="AE75"/>
      <c r="AF75"/>
      <c r="AG75" t="s">
        <v>223</v>
      </c>
      <c r="AN75" t="s">
        <v>218</v>
      </c>
      <c r="AO75" t="s">
        <v>224</v>
      </c>
      <c r="AP75" t="s">
        <v>225</v>
      </c>
      <c r="AQ75">
        <v>0.13</v>
      </c>
      <c r="AR75" t="s">
        <v>238</v>
      </c>
    </row>
    <row r="76" hidden="1" spans="1:44">
      <c r="A76" t="s">
        <v>105</v>
      </c>
      <c r="B76" t="s">
        <v>36</v>
      </c>
      <c r="C76" s="209" t="s">
        <v>37</v>
      </c>
      <c r="D76" s="210">
        <v>71020121060988</v>
      </c>
      <c r="E76" s="211">
        <v>44369</v>
      </c>
      <c r="F76" t="s">
        <v>218</v>
      </c>
      <c r="G76" t="s">
        <v>219</v>
      </c>
      <c r="H76">
        <v>7</v>
      </c>
      <c r="I76" t="s">
        <v>135</v>
      </c>
      <c r="J76" t="s">
        <v>220</v>
      </c>
      <c r="K76" t="s">
        <v>221</v>
      </c>
      <c r="L76">
        <v>2100</v>
      </c>
      <c r="M76" s="211">
        <v>44397</v>
      </c>
      <c r="N76" s="211">
        <v>44397</v>
      </c>
      <c r="O76" s="212" t="s">
        <v>60</v>
      </c>
      <c r="P76" t="s">
        <v>222</v>
      </c>
      <c r="S76">
        <v>0</v>
      </c>
      <c r="T76">
        <v>0</v>
      </c>
      <c r="U76">
        <v>0</v>
      </c>
      <c r="V76">
        <v>0</v>
      </c>
      <c r="W76">
        <v>0</v>
      </c>
      <c r="X76" s="140">
        <v>2100</v>
      </c>
      <c r="Y76" s="209">
        <f t="shared" si="1"/>
        <v>2100</v>
      </c>
      <c r="Z76">
        <v>0</v>
      </c>
      <c r="AE76"/>
      <c r="AF76"/>
      <c r="AG76" t="s">
        <v>223</v>
      </c>
      <c r="AN76" t="s">
        <v>218</v>
      </c>
      <c r="AO76" t="s">
        <v>224</v>
      </c>
      <c r="AP76" t="s">
        <v>225</v>
      </c>
      <c r="AQ76">
        <v>0.13</v>
      </c>
      <c r="AR76" t="s">
        <v>238</v>
      </c>
    </row>
    <row r="77" hidden="1" spans="1:44">
      <c r="A77" t="s">
        <v>105</v>
      </c>
      <c r="B77" t="s">
        <v>36</v>
      </c>
      <c r="C77" s="209" t="s">
        <v>37</v>
      </c>
      <c r="D77" s="210">
        <v>71020121060988</v>
      </c>
      <c r="E77" s="211">
        <v>44369</v>
      </c>
      <c r="F77" t="s">
        <v>218</v>
      </c>
      <c r="G77" t="s">
        <v>219</v>
      </c>
      <c r="H77">
        <v>8</v>
      </c>
      <c r="I77" t="s">
        <v>135</v>
      </c>
      <c r="J77" t="s">
        <v>220</v>
      </c>
      <c r="K77" t="s">
        <v>221</v>
      </c>
      <c r="L77">
        <v>2100</v>
      </c>
      <c r="M77" s="211">
        <v>44390</v>
      </c>
      <c r="N77" s="211">
        <v>44390</v>
      </c>
      <c r="O77" s="212" t="s">
        <v>60</v>
      </c>
      <c r="P77" t="s">
        <v>222</v>
      </c>
      <c r="S77">
        <v>0</v>
      </c>
      <c r="T77">
        <v>0</v>
      </c>
      <c r="U77">
        <v>0</v>
      </c>
      <c r="V77">
        <v>0</v>
      </c>
      <c r="W77">
        <v>0</v>
      </c>
      <c r="X77" s="140">
        <v>2100</v>
      </c>
      <c r="Y77" s="209">
        <f t="shared" si="1"/>
        <v>2100</v>
      </c>
      <c r="Z77">
        <v>0</v>
      </c>
      <c r="AE77"/>
      <c r="AF77"/>
      <c r="AG77" t="s">
        <v>223</v>
      </c>
      <c r="AN77" t="s">
        <v>218</v>
      </c>
      <c r="AO77" t="s">
        <v>224</v>
      </c>
      <c r="AP77" t="s">
        <v>225</v>
      </c>
      <c r="AQ77">
        <v>0.13</v>
      </c>
      <c r="AR77" t="s">
        <v>238</v>
      </c>
    </row>
    <row r="78" hidden="1" spans="1:44">
      <c r="A78" t="s">
        <v>105</v>
      </c>
      <c r="B78" t="s">
        <v>36</v>
      </c>
      <c r="C78" s="209" t="s">
        <v>37</v>
      </c>
      <c r="D78" s="210">
        <v>71020121060988</v>
      </c>
      <c r="E78" s="211">
        <v>44369</v>
      </c>
      <c r="F78" t="s">
        <v>218</v>
      </c>
      <c r="G78" t="s">
        <v>219</v>
      </c>
      <c r="H78">
        <v>9</v>
      </c>
      <c r="I78" t="s">
        <v>123</v>
      </c>
      <c r="J78" t="s">
        <v>229</v>
      </c>
      <c r="K78" t="s">
        <v>221</v>
      </c>
      <c r="L78">
        <v>396</v>
      </c>
      <c r="M78" s="211">
        <v>44396</v>
      </c>
      <c r="N78" s="211">
        <v>44396</v>
      </c>
      <c r="O78" s="212" t="s">
        <v>60</v>
      </c>
      <c r="P78" t="s">
        <v>222</v>
      </c>
      <c r="S78">
        <v>0</v>
      </c>
      <c r="T78">
        <v>0</v>
      </c>
      <c r="U78">
        <v>0</v>
      </c>
      <c r="V78">
        <v>0</v>
      </c>
      <c r="W78">
        <v>0</v>
      </c>
      <c r="X78" s="140">
        <v>396</v>
      </c>
      <c r="Y78" s="209">
        <f t="shared" si="1"/>
        <v>396</v>
      </c>
      <c r="Z78">
        <v>0</v>
      </c>
      <c r="AE78"/>
      <c r="AF78"/>
      <c r="AG78" t="s">
        <v>223</v>
      </c>
      <c r="AN78" t="s">
        <v>218</v>
      </c>
      <c r="AO78" t="s">
        <v>224</v>
      </c>
      <c r="AP78" t="s">
        <v>225</v>
      </c>
      <c r="AQ78">
        <v>0.13</v>
      </c>
      <c r="AR78" t="s">
        <v>238</v>
      </c>
    </row>
    <row r="79" hidden="1" spans="1:44">
      <c r="A79" t="s">
        <v>105</v>
      </c>
      <c r="B79" t="s">
        <v>36</v>
      </c>
      <c r="C79" s="209" t="s">
        <v>37</v>
      </c>
      <c r="D79" s="210">
        <v>71020121061450</v>
      </c>
      <c r="E79" s="211">
        <v>44377</v>
      </c>
      <c r="F79" t="s">
        <v>218</v>
      </c>
      <c r="G79" t="s">
        <v>219</v>
      </c>
      <c r="H79">
        <v>3</v>
      </c>
      <c r="I79" t="s">
        <v>128</v>
      </c>
      <c r="J79" t="s">
        <v>240</v>
      </c>
      <c r="K79" t="s">
        <v>221</v>
      </c>
      <c r="L79">
        <v>750</v>
      </c>
      <c r="M79" s="211">
        <v>44425</v>
      </c>
      <c r="N79" s="211">
        <v>44425</v>
      </c>
      <c r="O79" s="212" t="s">
        <v>227</v>
      </c>
      <c r="P79" t="s">
        <v>222</v>
      </c>
      <c r="S79">
        <v>0</v>
      </c>
      <c r="T79">
        <v>0</v>
      </c>
      <c r="U79">
        <v>0</v>
      </c>
      <c r="V79">
        <v>0</v>
      </c>
      <c r="W79">
        <v>0</v>
      </c>
      <c r="X79" s="140">
        <v>750</v>
      </c>
      <c r="Y79" s="209">
        <f t="shared" si="1"/>
        <v>750</v>
      </c>
      <c r="Z79">
        <v>0</v>
      </c>
      <c r="AE79"/>
      <c r="AF79"/>
      <c r="AG79" t="s">
        <v>223</v>
      </c>
      <c r="AN79" t="s">
        <v>218</v>
      </c>
      <c r="AO79" t="s">
        <v>224</v>
      </c>
      <c r="AP79" t="s">
        <v>225</v>
      </c>
      <c r="AQ79">
        <v>0.13</v>
      </c>
      <c r="AR79" t="s">
        <v>238</v>
      </c>
    </row>
    <row r="80" hidden="1" spans="1:44">
      <c r="A80" t="s">
        <v>105</v>
      </c>
      <c r="B80" t="s">
        <v>36</v>
      </c>
      <c r="C80" s="209" t="s">
        <v>37</v>
      </c>
      <c r="D80" s="210">
        <v>71020121061450</v>
      </c>
      <c r="E80" s="211">
        <v>44377</v>
      </c>
      <c r="F80" t="s">
        <v>218</v>
      </c>
      <c r="G80" t="s">
        <v>219</v>
      </c>
      <c r="H80">
        <v>4</v>
      </c>
      <c r="I80" t="s">
        <v>128</v>
      </c>
      <c r="J80" t="s">
        <v>240</v>
      </c>
      <c r="K80" t="s">
        <v>221</v>
      </c>
      <c r="L80">
        <v>1250</v>
      </c>
      <c r="M80" s="211">
        <v>44432</v>
      </c>
      <c r="N80" s="211">
        <v>44432</v>
      </c>
      <c r="O80" s="212" t="s">
        <v>227</v>
      </c>
      <c r="P80" t="s">
        <v>222</v>
      </c>
      <c r="S80">
        <v>0</v>
      </c>
      <c r="T80">
        <v>0</v>
      </c>
      <c r="U80">
        <v>0</v>
      </c>
      <c r="V80">
        <v>0</v>
      </c>
      <c r="W80">
        <v>0</v>
      </c>
      <c r="X80" s="140">
        <v>1250</v>
      </c>
      <c r="Y80" s="209">
        <f t="shared" si="1"/>
        <v>1250</v>
      </c>
      <c r="Z80">
        <v>0</v>
      </c>
      <c r="AE80"/>
      <c r="AF80"/>
      <c r="AG80" t="s">
        <v>223</v>
      </c>
      <c r="AN80" t="s">
        <v>218</v>
      </c>
      <c r="AO80" t="s">
        <v>224</v>
      </c>
      <c r="AP80" t="s">
        <v>225</v>
      </c>
      <c r="AQ80">
        <v>0.13</v>
      </c>
      <c r="AR80" t="s">
        <v>238</v>
      </c>
    </row>
    <row r="81" hidden="1" spans="1:44">
      <c r="A81" t="s">
        <v>105</v>
      </c>
      <c r="B81" t="s">
        <v>36</v>
      </c>
      <c r="C81" s="209" t="s">
        <v>37</v>
      </c>
      <c r="D81" s="210">
        <v>71020121061450</v>
      </c>
      <c r="E81" s="211">
        <v>44377</v>
      </c>
      <c r="F81" t="s">
        <v>218</v>
      </c>
      <c r="G81" t="s">
        <v>219</v>
      </c>
      <c r="H81">
        <v>5</v>
      </c>
      <c r="I81" t="s">
        <v>128</v>
      </c>
      <c r="J81" t="s">
        <v>240</v>
      </c>
      <c r="K81" t="s">
        <v>221</v>
      </c>
      <c r="L81">
        <v>625</v>
      </c>
      <c r="M81" s="211">
        <v>44397</v>
      </c>
      <c r="N81" s="211">
        <v>44397</v>
      </c>
      <c r="O81" s="212" t="s">
        <v>60</v>
      </c>
      <c r="P81" t="s">
        <v>222</v>
      </c>
      <c r="S81">
        <v>0</v>
      </c>
      <c r="T81">
        <v>0</v>
      </c>
      <c r="U81">
        <v>0</v>
      </c>
      <c r="V81">
        <v>0</v>
      </c>
      <c r="W81">
        <v>0</v>
      </c>
      <c r="X81" s="140">
        <v>625</v>
      </c>
      <c r="Y81" s="209">
        <f t="shared" si="1"/>
        <v>625</v>
      </c>
      <c r="Z81">
        <v>0</v>
      </c>
      <c r="AE81"/>
      <c r="AF81"/>
      <c r="AG81" t="s">
        <v>223</v>
      </c>
      <c r="AN81" t="s">
        <v>218</v>
      </c>
      <c r="AO81" t="s">
        <v>224</v>
      </c>
      <c r="AP81" t="s">
        <v>225</v>
      </c>
      <c r="AQ81">
        <v>0.13</v>
      </c>
      <c r="AR81" t="s">
        <v>238</v>
      </c>
    </row>
    <row r="82" hidden="1" spans="1:44">
      <c r="A82" t="s">
        <v>105</v>
      </c>
      <c r="B82" t="s">
        <v>36</v>
      </c>
      <c r="C82" s="209" t="s">
        <v>37</v>
      </c>
      <c r="D82" s="210">
        <v>71020121061450</v>
      </c>
      <c r="E82" s="211">
        <v>44377</v>
      </c>
      <c r="F82" t="s">
        <v>218</v>
      </c>
      <c r="G82" t="s">
        <v>219</v>
      </c>
      <c r="H82">
        <v>6</v>
      </c>
      <c r="I82" t="s">
        <v>128</v>
      </c>
      <c r="J82" t="s">
        <v>240</v>
      </c>
      <c r="K82" t="s">
        <v>221</v>
      </c>
      <c r="L82">
        <v>1250</v>
      </c>
      <c r="M82" s="211">
        <v>44425</v>
      </c>
      <c r="N82" s="211">
        <v>44425</v>
      </c>
      <c r="O82" s="212" t="s">
        <v>227</v>
      </c>
      <c r="P82" t="s">
        <v>222</v>
      </c>
      <c r="S82">
        <v>0</v>
      </c>
      <c r="T82">
        <v>0</v>
      </c>
      <c r="U82">
        <v>0</v>
      </c>
      <c r="V82">
        <v>0</v>
      </c>
      <c r="W82">
        <v>0</v>
      </c>
      <c r="X82" s="140">
        <v>1250</v>
      </c>
      <c r="Y82" s="209">
        <f t="shared" si="1"/>
        <v>1250</v>
      </c>
      <c r="Z82">
        <v>0</v>
      </c>
      <c r="AE82"/>
      <c r="AF82"/>
      <c r="AG82" t="s">
        <v>223</v>
      </c>
      <c r="AN82" t="s">
        <v>218</v>
      </c>
      <c r="AO82" t="s">
        <v>224</v>
      </c>
      <c r="AP82" t="s">
        <v>225</v>
      </c>
      <c r="AQ82">
        <v>0.13</v>
      </c>
      <c r="AR82" t="s">
        <v>238</v>
      </c>
    </row>
    <row r="83" hidden="1" spans="1:44">
      <c r="A83" t="s">
        <v>105</v>
      </c>
      <c r="B83" t="s">
        <v>36</v>
      </c>
      <c r="C83" s="209" t="s">
        <v>37</v>
      </c>
      <c r="D83" s="210">
        <v>71020121070034</v>
      </c>
      <c r="E83" s="211">
        <v>44378</v>
      </c>
      <c r="F83" t="s">
        <v>218</v>
      </c>
      <c r="G83" t="s">
        <v>219</v>
      </c>
      <c r="H83">
        <v>1</v>
      </c>
      <c r="I83" t="s">
        <v>127</v>
      </c>
      <c r="J83" t="s">
        <v>228</v>
      </c>
      <c r="K83" t="s">
        <v>221</v>
      </c>
      <c r="L83">
        <v>13800</v>
      </c>
      <c r="M83" s="211">
        <v>44418</v>
      </c>
      <c r="N83" s="211">
        <v>44418</v>
      </c>
      <c r="O83" s="212" t="s">
        <v>227</v>
      </c>
      <c r="P83" t="s">
        <v>222</v>
      </c>
      <c r="S83">
        <v>0</v>
      </c>
      <c r="T83">
        <v>0</v>
      </c>
      <c r="U83">
        <v>0</v>
      </c>
      <c r="V83">
        <v>0</v>
      </c>
      <c r="W83">
        <v>0</v>
      </c>
      <c r="X83" s="140">
        <v>13800</v>
      </c>
      <c r="Y83" s="209">
        <f t="shared" si="1"/>
        <v>13800</v>
      </c>
      <c r="Z83">
        <v>0</v>
      </c>
      <c r="AE83"/>
      <c r="AF83"/>
      <c r="AG83" t="s">
        <v>223</v>
      </c>
      <c r="AN83" t="s">
        <v>218</v>
      </c>
      <c r="AO83" t="s">
        <v>224</v>
      </c>
      <c r="AP83" t="s">
        <v>225</v>
      </c>
      <c r="AQ83">
        <v>0.13</v>
      </c>
      <c r="AR83" t="s">
        <v>238</v>
      </c>
    </row>
    <row r="84" hidden="1" spans="1:44">
      <c r="A84" t="s">
        <v>105</v>
      </c>
      <c r="B84" t="s">
        <v>36</v>
      </c>
      <c r="C84" s="209" t="s">
        <v>37</v>
      </c>
      <c r="D84" s="210">
        <v>71020121070034</v>
      </c>
      <c r="E84" s="211">
        <v>44378</v>
      </c>
      <c r="F84" t="s">
        <v>218</v>
      </c>
      <c r="G84" t="s">
        <v>219</v>
      </c>
      <c r="H84">
        <v>2</v>
      </c>
      <c r="I84" t="s">
        <v>129</v>
      </c>
      <c r="J84" t="s">
        <v>229</v>
      </c>
      <c r="K84" t="s">
        <v>221</v>
      </c>
      <c r="L84">
        <v>11500</v>
      </c>
      <c r="M84" s="211">
        <v>44433</v>
      </c>
      <c r="N84" s="211">
        <v>44433</v>
      </c>
      <c r="O84" s="212" t="s">
        <v>227</v>
      </c>
      <c r="P84" t="s">
        <v>222</v>
      </c>
      <c r="S84">
        <v>0</v>
      </c>
      <c r="T84">
        <v>0</v>
      </c>
      <c r="U84">
        <v>0</v>
      </c>
      <c r="V84">
        <v>0</v>
      </c>
      <c r="W84">
        <v>0</v>
      </c>
      <c r="X84" s="140">
        <v>11500</v>
      </c>
      <c r="Y84" s="209">
        <f t="shared" si="1"/>
        <v>11500</v>
      </c>
      <c r="Z84">
        <v>0</v>
      </c>
      <c r="AE84"/>
      <c r="AF84"/>
      <c r="AG84" t="s">
        <v>223</v>
      </c>
      <c r="AN84" t="s">
        <v>218</v>
      </c>
      <c r="AO84" t="s">
        <v>224</v>
      </c>
      <c r="AP84" t="s">
        <v>225</v>
      </c>
      <c r="AQ84">
        <v>0.13</v>
      </c>
      <c r="AR84" t="s">
        <v>238</v>
      </c>
    </row>
    <row r="85" hidden="1" spans="1:44">
      <c r="A85" t="s">
        <v>105</v>
      </c>
      <c r="B85" t="s">
        <v>36</v>
      </c>
      <c r="C85" s="209" t="s">
        <v>37</v>
      </c>
      <c r="D85" s="210">
        <v>71020121070034</v>
      </c>
      <c r="E85" s="211">
        <v>44378</v>
      </c>
      <c r="F85" t="s">
        <v>218</v>
      </c>
      <c r="G85" t="s">
        <v>219</v>
      </c>
      <c r="H85">
        <v>3</v>
      </c>
      <c r="I85" t="s">
        <v>239</v>
      </c>
      <c r="J85" t="s">
        <v>228</v>
      </c>
      <c r="K85" t="s">
        <v>221</v>
      </c>
      <c r="L85">
        <v>1700</v>
      </c>
      <c r="M85" s="211">
        <v>44435</v>
      </c>
      <c r="N85" s="211">
        <v>44435</v>
      </c>
      <c r="O85" s="212" t="s">
        <v>227</v>
      </c>
      <c r="P85" t="s">
        <v>222</v>
      </c>
      <c r="S85">
        <v>0</v>
      </c>
      <c r="T85">
        <v>0</v>
      </c>
      <c r="U85">
        <v>0</v>
      </c>
      <c r="V85">
        <v>0</v>
      </c>
      <c r="W85">
        <v>0</v>
      </c>
      <c r="X85" s="140">
        <v>1700</v>
      </c>
      <c r="Y85" s="209">
        <f t="shared" si="1"/>
        <v>1700</v>
      </c>
      <c r="Z85">
        <v>0</v>
      </c>
      <c r="AE85"/>
      <c r="AF85"/>
      <c r="AG85" t="s">
        <v>223</v>
      </c>
      <c r="AN85" t="s">
        <v>218</v>
      </c>
      <c r="AO85" t="s">
        <v>224</v>
      </c>
      <c r="AP85" t="s">
        <v>225</v>
      </c>
      <c r="AQ85">
        <v>0.13</v>
      </c>
      <c r="AR85" t="s">
        <v>238</v>
      </c>
    </row>
    <row r="86" hidden="1" spans="1:44">
      <c r="A86" t="s">
        <v>105</v>
      </c>
      <c r="B86" t="s">
        <v>36</v>
      </c>
      <c r="C86" s="209" t="s">
        <v>37</v>
      </c>
      <c r="D86" s="210">
        <v>71020121070034</v>
      </c>
      <c r="E86" s="211">
        <v>44378</v>
      </c>
      <c r="F86" t="s">
        <v>218</v>
      </c>
      <c r="G86" t="s">
        <v>219</v>
      </c>
      <c r="H86">
        <v>4</v>
      </c>
      <c r="I86" t="s">
        <v>137</v>
      </c>
      <c r="J86" t="s">
        <v>220</v>
      </c>
      <c r="K86" t="s">
        <v>221</v>
      </c>
      <c r="L86">
        <v>400</v>
      </c>
      <c r="M86" s="211">
        <v>44423</v>
      </c>
      <c r="N86" s="211">
        <v>44423</v>
      </c>
      <c r="O86" s="212" t="s">
        <v>227</v>
      </c>
      <c r="P86" t="s">
        <v>222</v>
      </c>
      <c r="S86">
        <v>0</v>
      </c>
      <c r="T86">
        <v>0</v>
      </c>
      <c r="U86">
        <v>0</v>
      </c>
      <c r="V86">
        <v>0</v>
      </c>
      <c r="W86">
        <v>0</v>
      </c>
      <c r="X86" s="140">
        <v>400</v>
      </c>
      <c r="Y86" s="209">
        <f t="shared" si="1"/>
        <v>400</v>
      </c>
      <c r="Z86">
        <v>0</v>
      </c>
      <c r="AE86"/>
      <c r="AF86"/>
      <c r="AG86" t="s">
        <v>223</v>
      </c>
      <c r="AN86" t="s">
        <v>218</v>
      </c>
      <c r="AO86" t="s">
        <v>224</v>
      </c>
      <c r="AP86" t="s">
        <v>225</v>
      </c>
      <c r="AQ86">
        <v>0.13</v>
      </c>
      <c r="AR86" t="s">
        <v>238</v>
      </c>
    </row>
    <row r="87" hidden="1" spans="1:44">
      <c r="A87" t="s">
        <v>105</v>
      </c>
      <c r="B87" t="s">
        <v>36</v>
      </c>
      <c r="C87" s="209" t="s">
        <v>37</v>
      </c>
      <c r="D87" s="210">
        <v>71020121070034</v>
      </c>
      <c r="E87" s="211">
        <v>44378</v>
      </c>
      <c r="F87" t="s">
        <v>218</v>
      </c>
      <c r="G87" t="s">
        <v>219</v>
      </c>
      <c r="H87">
        <v>5</v>
      </c>
      <c r="I87" t="s">
        <v>137</v>
      </c>
      <c r="J87" t="s">
        <v>220</v>
      </c>
      <c r="K87" t="s">
        <v>221</v>
      </c>
      <c r="L87">
        <v>1000</v>
      </c>
      <c r="M87" s="211">
        <v>44439</v>
      </c>
      <c r="N87" s="211">
        <v>44423</v>
      </c>
      <c r="O87" s="212" t="s">
        <v>227</v>
      </c>
      <c r="P87" t="s">
        <v>222</v>
      </c>
      <c r="S87">
        <v>0</v>
      </c>
      <c r="T87">
        <v>0</v>
      </c>
      <c r="U87">
        <v>0</v>
      </c>
      <c r="V87">
        <v>0</v>
      </c>
      <c r="W87">
        <v>0</v>
      </c>
      <c r="X87" s="140">
        <v>1000</v>
      </c>
      <c r="Y87" s="209">
        <f t="shared" si="1"/>
        <v>1000</v>
      </c>
      <c r="Z87">
        <v>0</v>
      </c>
      <c r="AE87"/>
      <c r="AF87"/>
      <c r="AG87" t="s">
        <v>223</v>
      </c>
      <c r="AN87" t="s">
        <v>218</v>
      </c>
      <c r="AO87" t="s">
        <v>224</v>
      </c>
      <c r="AP87" t="s">
        <v>225</v>
      </c>
      <c r="AQ87">
        <v>0.13</v>
      </c>
      <c r="AR87" t="s">
        <v>238</v>
      </c>
    </row>
    <row r="88" hidden="1" spans="1:44">
      <c r="A88" t="s">
        <v>105</v>
      </c>
      <c r="B88" t="s">
        <v>36</v>
      </c>
      <c r="C88" s="209" t="s">
        <v>37</v>
      </c>
      <c r="D88" s="210">
        <v>71020121070034</v>
      </c>
      <c r="E88" s="211">
        <v>44378</v>
      </c>
      <c r="F88" t="s">
        <v>218</v>
      </c>
      <c r="G88" t="s">
        <v>219</v>
      </c>
      <c r="H88">
        <v>6</v>
      </c>
      <c r="I88" t="s">
        <v>137</v>
      </c>
      <c r="J88" t="s">
        <v>220</v>
      </c>
      <c r="K88" t="s">
        <v>221</v>
      </c>
      <c r="L88">
        <v>2500</v>
      </c>
      <c r="M88" s="211">
        <v>44439</v>
      </c>
      <c r="N88" s="211">
        <v>44424</v>
      </c>
      <c r="O88" s="212" t="s">
        <v>227</v>
      </c>
      <c r="P88" t="s">
        <v>222</v>
      </c>
      <c r="S88">
        <v>0</v>
      </c>
      <c r="T88">
        <v>0</v>
      </c>
      <c r="U88">
        <v>0</v>
      </c>
      <c r="V88">
        <v>0</v>
      </c>
      <c r="W88">
        <v>0</v>
      </c>
      <c r="X88" s="140">
        <v>2500</v>
      </c>
      <c r="Y88" s="209">
        <f t="shared" si="1"/>
        <v>2500</v>
      </c>
      <c r="Z88">
        <v>0</v>
      </c>
      <c r="AE88"/>
      <c r="AF88"/>
      <c r="AG88" t="s">
        <v>223</v>
      </c>
      <c r="AN88" t="s">
        <v>218</v>
      </c>
      <c r="AO88" t="s">
        <v>224</v>
      </c>
      <c r="AP88" t="s">
        <v>225</v>
      </c>
      <c r="AQ88">
        <v>0.13</v>
      </c>
      <c r="AR88" t="s">
        <v>238</v>
      </c>
    </row>
    <row r="89" hidden="1" spans="1:44">
      <c r="A89" t="s">
        <v>105</v>
      </c>
      <c r="B89" t="s">
        <v>36</v>
      </c>
      <c r="C89" s="209" t="s">
        <v>37</v>
      </c>
      <c r="D89" s="210">
        <v>71020121070034</v>
      </c>
      <c r="E89" s="211">
        <v>44378</v>
      </c>
      <c r="F89" t="s">
        <v>218</v>
      </c>
      <c r="G89" t="s">
        <v>219</v>
      </c>
      <c r="H89">
        <v>7</v>
      </c>
      <c r="I89" t="s">
        <v>138</v>
      </c>
      <c r="J89" t="s">
        <v>220</v>
      </c>
      <c r="K89" t="s">
        <v>221</v>
      </c>
      <c r="L89">
        <v>650</v>
      </c>
      <c r="M89" s="211">
        <v>44436</v>
      </c>
      <c r="N89" s="211">
        <v>44436</v>
      </c>
      <c r="O89" s="212" t="s">
        <v>227</v>
      </c>
      <c r="P89" t="s">
        <v>222</v>
      </c>
      <c r="S89">
        <v>0</v>
      </c>
      <c r="T89">
        <v>0</v>
      </c>
      <c r="U89">
        <v>0</v>
      </c>
      <c r="V89">
        <v>0</v>
      </c>
      <c r="W89">
        <v>0</v>
      </c>
      <c r="X89" s="140">
        <v>650</v>
      </c>
      <c r="Y89" s="209">
        <f t="shared" si="1"/>
        <v>650</v>
      </c>
      <c r="Z89">
        <v>0</v>
      </c>
      <c r="AE89"/>
      <c r="AF89"/>
      <c r="AG89" t="s">
        <v>223</v>
      </c>
      <c r="AN89" t="s">
        <v>218</v>
      </c>
      <c r="AO89" t="s">
        <v>224</v>
      </c>
      <c r="AP89" t="s">
        <v>225</v>
      </c>
      <c r="AQ89">
        <v>0.13</v>
      </c>
      <c r="AR89" t="s">
        <v>238</v>
      </c>
    </row>
    <row r="90" hidden="1" spans="1:44">
      <c r="A90" t="s">
        <v>105</v>
      </c>
      <c r="B90" t="s">
        <v>36</v>
      </c>
      <c r="C90" s="209" t="s">
        <v>37</v>
      </c>
      <c r="D90" s="210">
        <v>71020121070034</v>
      </c>
      <c r="E90" s="211">
        <v>44378</v>
      </c>
      <c r="F90" t="s">
        <v>218</v>
      </c>
      <c r="G90" t="s">
        <v>219</v>
      </c>
      <c r="H90">
        <v>8</v>
      </c>
      <c r="I90" t="s">
        <v>138</v>
      </c>
      <c r="J90" t="s">
        <v>220</v>
      </c>
      <c r="K90" t="s">
        <v>221</v>
      </c>
      <c r="L90">
        <v>1500</v>
      </c>
      <c r="M90" s="211">
        <v>44435</v>
      </c>
      <c r="N90" s="211">
        <v>44435</v>
      </c>
      <c r="O90" s="212" t="s">
        <v>227</v>
      </c>
      <c r="P90" t="s">
        <v>222</v>
      </c>
      <c r="S90">
        <v>0</v>
      </c>
      <c r="T90">
        <v>0</v>
      </c>
      <c r="U90">
        <v>0</v>
      </c>
      <c r="V90">
        <v>0</v>
      </c>
      <c r="W90">
        <v>0</v>
      </c>
      <c r="X90" s="140">
        <v>1500</v>
      </c>
      <c r="Y90" s="209">
        <f t="shared" si="1"/>
        <v>1500</v>
      </c>
      <c r="Z90">
        <v>0</v>
      </c>
      <c r="AE90"/>
      <c r="AF90"/>
      <c r="AG90" t="s">
        <v>223</v>
      </c>
      <c r="AN90" t="s">
        <v>218</v>
      </c>
      <c r="AO90" t="s">
        <v>224</v>
      </c>
      <c r="AP90" t="s">
        <v>225</v>
      </c>
      <c r="AQ90">
        <v>0.13</v>
      </c>
      <c r="AR90" t="s">
        <v>238</v>
      </c>
    </row>
    <row r="91" hidden="1" spans="1:44">
      <c r="A91" t="s">
        <v>105</v>
      </c>
      <c r="B91" t="s">
        <v>36</v>
      </c>
      <c r="C91" s="209" t="s">
        <v>37</v>
      </c>
      <c r="D91" s="210">
        <v>71020121070034</v>
      </c>
      <c r="E91" s="211">
        <v>44378</v>
      </c>
      <c r="F91" t="s">
        <v>218</v>
      </c>
      <c r="G91" t="s">
        <v>219</v>
      </c>
      <c r="H91">
        <v>9</v>
      </c>
      <c r="I91" t="s">
        <v>138</v>
      </c>
      <c r="J91" t="s">
        <v>220</v>
      </c>
      <c r="K91" t="s">
        <v>221</v>
      </c>
      <c r="L91">
        <v>1000</v>
      </c>
      <c r="M91" s="211">
        <v>44434</v>
      </c>
      <c r="N91" s="211">
        <v>44434</v>
      </c>
      <c r="O91" s="212" t="s">
        <v>227</v>
      </c>
      <c r="P91" t="s">
        <v>222</v>
      </c>
      <c r="S91">
        <v>0</v>
      </c>
      <c r="T91">
        <v>0</v>
      </c>
      <c r="U91">
        <v>0</v>
      </c>
      <c r="V91">
        <v>0</v>
      </c>
      <c r="W91">
        <v>0</v>
      </c>
      <c r="X91" s="140">
        <v>1000</v>
      </c>
      <c r="Y91" s="209">
        <f t="shared" si="1"/>
        <v>1000</v>
      </c>
      <c r="Z91">
        <v>0</v>
      </c>
      <c r="AE91"/>
      <c r="AF91"/>
      <c r="AG91" t="s">
        <v>223</v>
      </c>
      <c r="AN91" t="s">
        <v>218</v>
      </c>
      <c r="AO91" t="s">
        <v>224</v>
      </c>
      <c r="AP91" t="s">
        <v>225</v>
      </c>
      <c r="AQ91">
        <v>0.13</v>
      </c>
      <c r="AR91" t="s">
        <v>238</v>
      </c>
    </row>
    <row r="92" hidden="1" spans="1:44">
      <c r="A92" t="s">
        <v>105</v>
      </c>
      <c r="B92" t="s">
        <v>36</v>
      </c>
      <c r="C92" s="209" t="s">
        <v>37</v>
      </c>
      <c r="D92" s="210">
        <v>71020121070034</v>
      </c>
      <c r="E92" s="211">
        <v>44378</v>
      </c>
      <c r="F92" t="s">
        <v>218</v>
      </c>
      <c r="G92" t="s">
        <v>219</v>
      </c>
      <c r="H92">
        <v>10</v>
      </c>
      <c r="I92" t="s">
        <v>138</v>
      </c>
      <c r="J92" t="s">
        <v>220</v>
      </c>
      <c r="K92" t="s">
        <v>221</v>
      </c>
      <c r="L92">
        <v>1950</v>
      </c>
      <c r="M92" s="211">
        <v>44428</v>
      </c>
      <c r="N92" s="211">
        <v>44433</v>
      </c>
      <c r="O92" s="212" t="s">
        <v>227</v>
      </c>
      <c r="P92" t="s">
        <v>222</v>
      </c>
      <c r="S92">
        <v>0</v>
      </c>
      <c r="T92">
        <v>0</v>
      </c>
      <c r="U92">
        <v>0</v>
      </c>
      <c r="V92">
        <v>0</v>
      </c>
      <c r="W92">
        <v>0</v>
      </c>
      <c r="X92" s="140">
        <v>1950</v>
      </c>
      <c r="Y92" s="209">
        <f t="shared" si="1"/>
        <v>1950</v>
      </c>
      <c r="Z92">
        <v>0</v>
      </c>
      <c r="AE92"/>
      <c r="AF92"/>
      <c r="AG92" t="s">
        <v>223</v>
      </c>
      <c r="AN92" t="s">
        <v>218</v>
      </c>
      <c r="AO92" t="s">
        <v>224</v>
      </c>
      <c r="AP92" t="s">
        <v>225</v>
      </c>
      <c r="AQ92">
        <v>0.13</v>
      </c>
      <c r="AR92" t="s">
        <v>238</v>
      </c>
    </row>
    <row r="93" hidden="1" spans="1:44">
      <c r="A93" t="s">
        <v>105</v>
      </c>
      <c r="B93" t="s">
        <v>36</v>
      </c>
      <c r="C93" s="209" t="s">
        <v>37</v>
      </c>
      <c r="D93" s="210">
        <v>71020121070034</v>
      </c>
      <c r="E93" s="211">
        <v>44378</v>
      </c>
      <c r="F93" t="s">
        <v>218</v>
      </c>
      <c r="G93" t="s">
        <v>219</v>
      </c>
      <c r="H93">
        <v>11</v>
      </c>
      <c r="I93" t="s">
        <v>140</v>
      </c>
      <c r="J93" t="s">
        <v>220</v>
      </c>
      <c r="K93" t="s">
        <v>221</v>
      </c>
      <c r="L93">
        <v>2100</v>
      </c>
      <c r="M93" s="211">
        <v>44406</v>
      </c>
      <c r="N93" s="211">
        <v>44406</v>
      </c>
      <c r="O93" s="212" t="s">
        <v>60</v>
      </c>
      <c r="P93" t="s">
        <v>222</v>
      </c>
      <c r="S93">
        <v>0</v>
      </c>
      <c r="T93">
        <v>0</v>
      </c>
      <c r="U93">
        <v>0</v>
      </c>
      <c r="V93">
        <v>0</v>
      </c>
      <c r="W93">
        <v>0</v>
      </c>
      <c r="X93" s="140">
        <v>2100</v>
      </c>
      <c r="Y93" s="209">
        <f t="shared" si="1"/>
        <v>2100</v>
      </c>
      <c r="Z93">
        <v>0</v>
      </c>
      <c r="AE93"/>
      <c r="AF93"/>
      <c r="AG93" t="s">
        <v>223</v>
      </c>
      <c r="AN93" t="s">
        <v>218</v>
      </c>
      <c r="AO93" t="s">
        <v>224</v>
      </c>
      <c r="AP93" t="s">
        <v>225</v>
      </c>
      <c r="AQ93">
        <v>0.13</v>
      </c>
      <c r="AR93" t="s">
        <v>238</v>
      </c>
    </row>
    <row r="94" hidden="1" spans="1:44">
      <c r="A94" t="s">
        <v>105</v>
      </c>
      <c r="B94" t="s">
        <v>36</v>
      </c>
      <c r="C94" s="209" t="s">
        <v>37</v>
      </c>
      <c r="D94" s="210">
        <v>71020121070034</v>
      </c>
      <c r="E94" s="211">
        <v>44378</v>
      </c>
      <c r="F94" t="s">
        <v>218</v>
      </c>
      <c r="G94" t="s">
        <v>219</v>
      </c>
      <c r="H94">
        <v>12</v>
      </c>
      <c r="I94" t="s">
        <v>140</v>
      </c>
      <c r="J94" t="s">
        <v>220</v>
      </c>
      <c r="K94" t="s">
        <v>221</v>
      </c>
      <c r="L94">
        <v>1700</v>
      </c>
      <c r="M94" s="211">
        <v>44426</v>
      </c>
      <c r="N94" s="211">
        <v>44410</v>
      </c>
      <c r="O94" s="212" t="s">
        <v>227</v>
      </c>
      <c r="P94" t="s">
        <v>222</v>
      </c>
      <c r="S94">
        <v>0</v>
      </c>
      <c r="T94">
        <v>0</v>
      </c>
      <c r="U94">
        <v>0</v>
      </c>
      <c r="V94">
        <v>0</v>
      </c>
      <c r="W94">
        <v>0</v>
      </c>
      <c r="X94" s="140">
        <v>1700</v>
      </c>
      <c r="Y94" s="209">
        <f t="shared" si="1"/>
        <v>1700</v>
      </c>
      <c r="Z94">
        <v>0</v>
      </c>
      <c r="AE94"/>
      <c r="AF94"/>
      <c r="AG94" t="s">
        <v>223</v>
      </c>
      <c r="AN94" t="s">
        <v>218</v>
      </c>
      <c r="AO94" t="s">
        <v>224</v>
      </c>
      <c r="AP94" t="s">
        <v>225</v>
      </c>
      <c r="AQ94">
        <v>0.13</v>
      </c>
      <c r="AR94" t="s">
        <v>238</v>
      </c>
    </row>
    <row r="95" hidden="1" spans="1:44">
      <c r="A95" t="s">
        <v>105</v>
      </c>
      <c r="B95" t="s">
        <v>36</v>
      </c>
      <c r="C95" s="209" t="s">
        <v>37</v>
      </c>
      <c r="D95" s="210">
        <v>71020121070034</v>
      </c>
      <c r="E95" s="211">
        <v>44378</v>
      </c>
      <c r="F95" t="s">
        <v>218</v>
      </c>
      <c r="G95" t="s">
        <v>219</v>
      </c>
      <c r="H95">
        <v>13</v>
      </c>
      <c r="I95" t="s">
        <v>125</v>
      </c>
      <c r="J95" t="s">
        <v>228</v>
      </c>
      <c r="K95" t="s">
        <v>221</v>
      </c>
      <c r="L95">
        <v>12500</v>
      </c>
      <c r="M95" s="211">
        <v>44433</v>
      </c>
      <c r="N95" s="211">
        <v>44433</v>
      </c>
      <c r="O95" s="212" t="s">
        <v>227</v>
      </c>
      <c r="P95" t="s">
        <v>222</v>
      </c>
      <c r="S95">
        <v>0</v>
      </c>
      <c r="T95">
        <v>0</v>
      </c>
      <c r="U95">
        <v>0</v>
      </c>
      <c r="V95">
        <v>0</v>
      </c>
      <c r="W95">
        <v>0</v>
      </c>
      <c r="X95" s="140">
        <v>12500</v>
      </c>
      <c r="Y95" s="209">
        <f t="shared" si="1"/>
        <v>12500</v>
      </c>
      <c r="Z95">
        <v>0</v>
      </c>
      <c r="AE95"/>
      <c r="AF95"/>
      <c r="AG95" t="s">
        <v>223</v>
      </c>
      <c r="AN95" t="s">
        <v>218</v>
      </c>
      <c r="AO95" t="s">
        <v>224</v>
      </c>
      <c r="AP95" t="s">
        <v>225</v>
      </c>
      <c r="AQ95">
        <v>0.13</v>
      </c>
      <c r="AR95" t="s">
        <v>238</v>
      </c>
    </row>
    <row r="96" hidden="1" spans="1:44">
      <c r="A96" t="s">
        <v>105</v>
      </c>
      <c r="B96" t="s">
        <v>36</v>
      </c>
      <c r="C96" s="209" t="s">
        <v>37</v>
      </c>
      <c r="D96" s="210">
        <v>71020121070034</v>
      </c>
      <c r="E96" s="211">
        <v>44378</v>
      </c>
      <c r="F96" t="s">
        <v>218</v>
      </c>
      <c r="G96" t="s">
        <v>219</v>
      </c>
      <c r="H96">
        <v>14</v>
      </c>
      <c r="I96" t="s">
        <v>125</v>
      </c>
      <c r="J96" t="s">
        <v>228</v>
      </c>
      <c r="K96" t="s">
        <v>221</v>
      </c>
      <c r="L96">
        <v>12500</v>
      </c>
      <c r="M96" s="211">
        <v>44433</v>
      </c>
      <c r="N96" s="211">
        <v>44433</v>
      </c>
      <c r="O96" s="212" t="s">
        <v>227</v>
      </c>
      <c r="P96" t="s">
        <v>222</v>
      </c>
      <c r="S96">
        <v>0</v>
      </c>
      <c r="T96">
        <v>0</v>
      </c>
      <c r="U96">
        <v>0</v>
      </c>
      <c r="V96">
        <v>0</v>
      </c>
      <c r="W96">
        <v>0</v>
      </c>
      <c r="X96" s="140">
        <v>12500</v>
      </c>
      <c r="Y96" s="209">
        <f t="shared" si="1"/>
        <v>12500</v>
      </c>
      <c r="Z96">
        <v>0</v>
      </c>
      <c r="AE96"/>
      <c r="AF96"/>
      <c r="AG96" t="s">
        <v>223</v>
      </c>
      <c r="AN96" t="s">
        <v>218</v>
      </c>
      <c r="AO96" t="s">
        <v>224</v>
      </c>
      <c r="AP96" t="s">
        <v>225</v>
      </c>
      <c r="AQ96">
        <v>0.13</v>
      </c>
      <c r="AR96" t="s">
        <v>238</v>
      </c>
    </row>
    <row r="97" hidden="1" spans="1:44">
      <c r="A97" t="s">
        <v>105</v>
      </c>
      <c r="B97" t="s">
        <v>36</v>
      </c>
      <c r="C97" s="209" t="s">
        <v>37</v>
      </c>
      <c r="D97" s="210">
        <v>71020121070034</v>
      </c>
      <c r="E97" s="211">
        <v>44378</v>
      </c>
      <c r="F97" t="s">
        <v>218</v>
      </c>
      <c r="G97" t="s">
        <v>219</v>
      </c>
      <c r="H97">
        <v>15</v>
      </c>
      <c r="I97" t="s">
        <v>125</v>
      </c>
      <c r="J97" t="s">
        <v>228</v>
      </c>
      <c r="K97" t="s">
        <v>221</v>
      </c>
      <c r="L97">
        <v>11300</v>
      </c>
      <c r="M97" s="211">
        <v>44400</v>
      </c>
      <c r="N97" s="211">
        <v>44400</v>
      </c>
      <c r="O97" s="212" t="s">
        <v>60</v>
      </c>
      <c r="P97" t="s">
        <v>222</v>
      </c>
      <c r="S97">
        <v>0</v>
      </c>
      <c r="T97">
        <v>0</v>
      </c>
      <c r="U97">
        <v>0</v>
      </c>
      <c r="V97">
        <v>0</v>
      </c>
      <c r="W97">
        <v>0</v>
      </c>
      <c r="X97" s="140">
        <v>11300</v>
      </c>
      <c r="Y97" s="209">
        <f t="shared" si="1"/>
        <v>11300</v>
      </c>
      <c r="Z97">
        <v>0</v>
      </c>
      <c r="AE97"/>
      <c r="AF97"/>
      <c r="AG97" t="s">
        <v>223</v>
      </c>
      <c r="AN97" t="s">
        <v>218</v>
      </c>
      <c r="AO97" t="s">
        <v>224</v>
      </c>
      <c r="AP97" t="s">
        <v>225</v>
      </c>
      <c r="AQ97">
        <v>0.13</v>
      </c>
      <c r="AR97" t="s">
        <v>238</v>
      </c>
    </row>
    <row r="98" hidden="1" spans="1:44">
      <c r="A98" t="s">
        <v>105</v>
      </c>
      <c r="B98" t="s">
        <v>36</v>
      </c>
      <c r="C98" s="209" t="s">
        <v>37</v>
      </c>
      <c r="D98" s="210">
        <v>71020121070034</v>
      </c>
      <c r="E98" s="211">
        <v>44378</v>
      </c>
      <c r="F98" t="s">
        <v>218</v>
      </c>
      <c r="G98" t="s">
        <v>219</v>
      </c>
      <c r="H98">
        <v>16</v>
      </c>
      <c r="I98" t="s">
        <v>235</v>
      </c>
      <c r="J98" t="s">
        <v>228</v>
      </c>
      <c r="K98" t="s">
        <v>221</v>
      </c>
      <c r="L98">
        <v>3400</v>
      </c>
      <c r="M98" s="211">
        <v>44421</v>
      </c>
      <c r="N98" s="211">
        <v>44421</v>
      </c>
      <c r="O98" s="212" t="s">
        <v>227</v>
      </c>
      <c r="P98" t="s">
        <v>222</v>
      </c>
      <c r="S98">
        <v>0</v>
      </c>
      <c r="T98">
        <v>0</v>
      </c>
      <c r="U98">
        <v>0</v>
      </c>
      <c r="V98">
        <v>0</v>
      </c>
      <c r="W98">
        <v>0</v>
      </c>
      <c r="X98" s="140">
        <v>3400</v>
      </c>
      <c r="Y98" s="209">
        <f t="shared" si="1"/>
        <v>3400</v>
      </c>
      <c r="Z98">
        <v>0</v>
      </c>
      <c r="AE98"/>
      <c r="AF98"/>
      <c r="AG98" t="s">
        <v>223</v>
      </c>
      <c r="AN98" t="s">
        <v>218</v>
      </c>
      <c r="AO98" t="s">
        <v>224</v>
      </c>
      <c r="AP98" t="s">
        <v>225</v>
      </c>
      <c r="AQ98">
        <v>0.13</v>
      </c>
      <c r="AR98" t="s">
        <v>238</v>
      </c>
    </row>
    <row r="99" hidden="1" spans="1:44">
      <c r="A99" t="s">
        <v>105</v>
      </c>
      <c r="B99" t="s">
        <v>36</v>
      </c>
      <c r="C99" s="209" t="s">
        <v>37</v>
      </c>
      <c r="D99" s="210">
        <v>71020121070034</v>
      </c>
      <c r="E99" s="211">
        <v>44378</v>
      </c>
      <c r="F99" t="s">
        <v>218</v>
      </c>
      <c r="G99" t="s">
        <v>219</v>
      </c>
      <c r="H99">
        <v>17</v>
      </c>
      <c r="I99" t="s">
        <v>130</v>
      </c>
      <c r="J99" t="s">
        <v>229</v>
      </c>
      <c r="K99" t="s">
        <v>221</v>
      </c>
      <c r="L99">
        <v>2200</v>
      </c>
      <c r="M99" s="211">
        <v>44421</v>
      </c>
      <c r="N99" s="211">
        <v>44421</v>
      </c>
      <c r="O99" s="212" t="s">
        <v>227</v>
      </c>
      <c r="P99" t="s">
        <v>222</v>
      </c>
      <c r="S99">
        <v>0</v>
      </c>
      <c r="T99">
        <v>0</v>
      </c>
      <c r="U99">
        <v>0</v>
      </c>
      <c r="V99">
        <v>0</v>
      </c>
      <c r="W99">
        <v>0</v>
      </c>
      <c r="X99" s="140">
        <v>2200</v>
      </c>
      <c r="Y99" s="209">
        <f t="shared" si="1"/>
        <v>2200</v>
      </c>
      <c r="Z99">
        <v>0</v>
      </c>
      <c r="AE99"/>
      <c r="AF99"/>
      <c r="AG99" t="s">
        <v>223</v>
      </c>
      <c r="AN99" t="s">
        <v>218</v>
      </c>
      <c r="AO99" t="s">
        <v>224</v>
      </c>
      <c r="AP99" t="s">
        <v>225</v>
      </c>
      <c r="AQ99">
        <v>0.13</v>
      </c>
      <c r="AR99" t="s">
        <v>238</v>
      </c>
    </row>
    <row r="100" hidden="1" spans="1:44">
      <c r="A100" t="s">
        <v>105</v>
      </c>
      <c r="B100" t="s">
        <v>36</v>
      </c>
      <c r="C100" s="209" t="s">
        <v>37</v>
      </c>
      <c r="D100" s="210">
        <v>71020121070034</v>
      </c>
      <c r="E100" s="211">
        <v>44378</v>
      </c>
      <c r="F100" t="s">
        <v>218</v>
      </c>
      <c r="G100" t="s">
        <v>219</v>
      </c>
      <c r="H100">
        <v>18</v>
      </c>
      <c r="I100" t="s">
        <v>131</v>
      </c>
      <c r="J100" t="s">
        <v>220</v>
      </c>
      <c r="K100" t="s">
        <v>221</v>
      </c>
      <c r="L100">
        <v>4480</v>
      </c>
      <c r="M100" s="211">
        <v>44422</v>
      </c>
      <c r="N100" s="211">
        <v>44422</v>
      </c>
      <c r="O100" s="212" t="s">
        <v>227</v>
      </c>
      <c r="P100" t="s">
        <v>222</v>
      </c>
      <c r="S100">
        <v>0</v>
      </c>
      <c r="T100">
        <v>0</v>
      </c>
      <c r="U100">
        <v>0</v>
      </c>
      <c r="V100">
        <v>0</v>
      </c>
      <c r="W100">
        <v>0</v>
      </c>
      <c r="X100" s="140">
        <v>4480</v>
      </c>
      <c r="Y100" s="209">
        <f t="shared" si="1"/>
        <v>4480</v>
      </c>
      <c r="Z100">
        <v>0</v>
      </c>
      <c r="AE100"/>
      <c r="AF100"/>
      <c r="AG100" t="s">
        <v>223</v>
      </c>
      <c r="AN100" t="s">
        <v>218</v>
      </c>
      <c r="AO100" t="s">
        <v>224</v>
      </c>
      <c r="AP100" t="s">
        <v>225</v>
      </c>
      <c r="AQ100">
        <v>0.13</v>
      </c>
      <c r="AR100" t="s">
        <v>238</v>
      </c>
    </row>
    <row r="101" hidden="1" spans="1:44">
      <c r="A101" t="s">
        <v>105</v>
      </c>
      <c r="B101" t="s">
        <v>36</v>
      </c>
      <c r="C101" s="209" t="s">
        <v>37</v>
      </c>
      <c r="D101" s="210">
        <v>71020121070034</v>
      </c>
      <c r="E101" s="211">
        <v>44378</v>
      </c>
      <c r="F101" t="s">
        <v>218</v>
      </c>
      <c r="G101" t="s">
        <v>219</v>
      </c>
      <c r="H101">
        <v>19</v>
      </c>
      <c r="I101" t="s">
        <v>131</v>
      </c>
      <c r="J101" t="s">
        <v>220</v>
      </c>
      <c r="K101" t="s">
        <v>221</v>
      </c>
      <c r="L101">
        <v>4480</v>
      </c>
      <c r="M101" s="211">
        <v>44401</v>
      </c>
      <c r="N101" s="211">
        <v>44401</v>
      </c>
      <c r="O101" s="212" t="s">
        <v>60</v>
      </c>
      <c r="P101" t="s">
        <v>222</v>
      </c>
      <c r="S101">
        <v>0</v>
      </c>
      <c r="T101">
        <v>0</v>
      </c>
      <c r="U101">
        <v>0</v>
      </c>
      <c r="V101">
        <v>0</v>
      </c>
      <c r="W101">
        <v>0</v>
      </c>
      <c r="X101" s="140">
        <v>4480</v>
      </c>
      <c r="Y101" s="209">
        <f t="shared" si="1"/>
        <v>4480</v>
      </c>
      <c r="Z101">
        <v>0</v>
      </c>
      <c r="AE101"/>
      <c r="AF101"/>
      <c r="AG101" t="s">
        <v>223</v>
      </c>
      <c r="AN101" t="s">
        <v>218</v>
      </c>
      <c r="AO101" t="s">
        <v>224</v>
      </c>
      <c r="AP101" t="s">
        <v>225</v>
      </c>
      <c r="AQ101">
        <v>0.13</v>
      </c>
      <c r="AR101" t="s">
        <v>238</v>
      </c>
    </row>
    <row r="102" hidden="1" spans="1:44">
      <c r="A102" t="s">
        <v>105</v>
      </c>
      <c r="B102" t="s">
        <v>36</v>
      </c>
      <c r="C102" s="209" t="s">
        <v>37</v>
      </c>
      <c r="D102" s="210">
        <v>71020121070034</v>
      </c>
      <c r="E102" s="211">
        <v>44378</v>
      </c>
      <c r="F102" t="s">
        <v>218</v>
      </c>
      <c r="G102" t="s">
        <v>219</v>
      </c>
      <c r="H102">
        <v>20</v>
      </c>
      <c r="I102" t="s">
        <v>131</v>
      </c>
      <c r="J102" t="s">
        <v>220</v>
      </c>
      <c r="K102" t="s">
        <v>221</v>
      </c>
      <c r="L102">
        <v>400</v>
      </c>
      <c r="M102" s="211">
        <v>44400</v>
      </c>
      <c r="N102" s="211">
        <v>44400</v>
      </c>
      <c r="O102" s="212" t="s">
        <v>60</v>
      </c>
      <c r="P102" t="s">
        <v>222</v>
      </c>
      <c r="S102">
        <v>0</v>
      </c>
      <c r="T102">
        <v>0</v>
      </c>
      <c r="U102">
        <v>0</v>
      </c>
      <c r="V102">
        <v>0</v>
      </c>
      <c r="W102">
        <v>0</v>
      </c>
      <c r="X102" s="140">
        <v>400</v>
      </c>
      <c r="Y102" s="209">
        <f t="shared" si="1"/>
        <v>400</v>
      </c>
      <c r="Z102">
        <v>0</v>
      </c>
      <c r="AE102"/>
      <c r="AF102"/>
      <c r="AG102" t="s">
        <v>223</v>
      </c>
      <c r="AN102" t="s">
        <v>218</v>
      </c>
      <c r="AO102" t="s">
        <v>224</v>
      </c>
      <c r="AP102" t="s">
        <v>225</v>
      </c>
      <c r="AQ102">
        <v>0.13</v>
      </c>
      <c r="AR102" t="s">
        <v>238</v>
      </c>
    </row>
    <row r="103" hidden="1" spans="1:44">
      <c r="A103" t="s">
        <v>105</v>
      </c>
      <c r="B103" t="s">
        <v>36</v>
      </c>
      <c r="C103" s="209" t="s">
        <v>37</v>
      </c>
      <c r="D103" s="210">
        <v>71020121070034</v>
      </c>
      <c r="E103" s="211">
        <v>44378</v>
      </c>
      <c r="F103" t="s">
        <v>218</v>
      </c>
      <c r="G103" t="s">
        <v>219</v>
      </c>
      <c r="H103">
        <v>21</v>
      </c>
      <c r="I103" t="s">
        <v>124</v>
      </c>
      <c r="J103" t="s">
        <v>228</v>
      </c>
      <c r="K103" t="s">
        <v>221</v>
      </c>
      <c r="L103">
        <v>2200</v>
      </c>
      <c r="M103" s="211">
        <v>44440</v>
      </c>
      <c r="O103" s="212" t="s">
        <v>241</v>
      </c>
      <c r="P103" t="s">
        <v>222</v>
      </c>
      <c r="S103">
        <v>0</v>
      </c>
      <c r="T103">
        <v>0</v>
      </c>
      <c r="U103">
        <v>0</v>
      </c>
      <c r="V103">
        <v>0</v>
      </c>
      <c r="W103">
        <v>0</v>
      </c>
      <c r="X103" s="140">
        <v>2200</v>
      </c>
      <c r="Y103" s="209">
        <f t="shared" si="1"/>
        <v>2200</v>
      </c>
      <c r="Z103">
        <v>0</v>
      </c>
      <c r="AE103"/>
      <c r="AF103"/>
      <c r="AG103" t="s">
        <v>223</v>
      </c>
      <c r="AN103" t="s">
        <v>218</v>
      </c>
      <c r="AO103" t="s">
        <v>224</v>
      </c>
      <c r="AP103" t="s">
        <v>225</v>
      </c>
      <c r="AQ103">
        <v>0.13</v>
      </c>
      <c r="AR103" t="s">
        <v>238</v>
      </c>
    </row>
    <row r="104" hidden="1" spans="1:44">
      <c r="A104" t="s">
        <v>105</v>
      </c>
      <c r="B104" t="s">
        <v>36</v>
      </c>
      <c r="C104" s="209" t="s">
        <v>37</v>
      </c>
      <c r="D104" s="210">
        <v>71020121070034</v>
      </c>
      <c r="E104" s="211">
        <v>44378</v>
      </c>
      <c r="F104" t="s">
        <v>218</v>
      </c>
      <c r="G104" t="s">
        <v>219</v>
      </c>
      <c r="H104">
        <v>22</v>
      </c>
      <c r="I104" t="s">
        <v>139</v>
      </c>
      <c r="J104" t="s">
        <v>220</v>
      </c>
      <c r="K104" t="s">
        <v>221</v>
      </c>
      <c r="L104">
        <v>1011</v>
      </c>
      <c r="M104" s="211">
        <v>44439</v>
      </c>
      <c r="N104" s="211">
        <v>44433</v>
      </c>
      <c r="O104" s="212" t="s">
        <v>227</v>
      </c>
      <c r="P104" t="s">
        <v>222</v>
      </c>
      <c r="S104">
        <v>0</v>
      </c>
      <c r="T104">
        <v>0</v>
      </c>
      <c r="U104">
        <v>0</v>
      </c>
      <c r="V104">
        <v>0</v>
      </c>
      <c r="W104">
        <v>0</v>
      </c>
      <c r="X104" s="140">
        <v>1011</v>
      </c>
      <c r="Y104" s="209">
        <f t="shared" si="1"/>
        <v>1011</v>
      </c>
      <c r="Z104">
        <v>0</v>
      </c>
      <c r="AE104"/>
      <c r="AF104"/>
      <c r="AG104" t="s">
        <v>223</v>
      </c>
      <c r="AN104" t="s">
        <v>218</v>
      </c>
      <c r="AO104" t="s">
        <v>224</v>
      </c>
      <c r="AP104" t="s">
        <v>225</v>
      </c>
      <c r="AQ104">
        <v>0.13</v>
      </c>
      <c r="AR104" t="s">
        <v>238</v>
      </c>
    </row>
    <row r="105" hidden="1" spans="1:44">
      <c r="A105" t="s">
        <v>105</v>
      </c>
      <c r="B105" t="s">
        <v>36</v>
      </c>
      <c r="C105" s="209" t="s">
        <v>37</v>
      </c>
      <c r="D105" s="210">
        <v>71020121070034</v>
      </c>
      <c r="E105" s="211">
        <v>44378</v>
      </c>
      <c r="F105" t="s">
        <v>218</v>
      </c>
      <c r="G105" t="s">
        <v>219</v>
      </c>
      <c r="H105">
        <v>23</v>
      </c>
      <c r="I105" t="s">
        <v>139</v>
      </c>
      <c r="J105" t="s">
        <v>220</v>
      </c>
      <c r="K105" t="s">
        <v>221</v>
      </c>
      <c r="L105">
        <v>833</v>
      </c>
      <c r="M105" s="211">
        <v>44432</v>
      </c>
      <c r="N105" s="211">
        <v>44432</v>
      </c>
      <c r="O105" s="212" t="s">
        <v>227</v>
      </c>
      <c r="P105" t="s">
        <v>222</v>
      </c>
      <c r="S105">
        <v>0</v>
      </c>
      <c r="T105">
        <v>0</v>
      </c>
      <c r="U105">
        <v>0</v>
      </c>
      <c r="V105">
        <v>0</v>
      </c>
      <c r="W105">
        <v>0</v>
      </c>
      <c r="X105" s="140">
        <v>833</v>
      </c>
      <c r="Y105" s="209">
        <f t="shared" si="1"/>
        <v>833</v>
      </c>
      <c r="Z105">
        <v>0</v>
      </c>
      <c r="AE105"/>
      <c r="AF105"/>
      <c r="AG105" t="s">
        <v>223</v>
      </c>
      <c r="AN105" t="s">
        <v>218</v>
      </c>
      <c r="AO105" t="s">
        <v>224</v>
      </c>
      <c r="AP105" t="s">
        <v>225</v>
      </c>
      <c r="AQ105">
        <v>0.13</v>
      </c>
      <c r="AR105" t="s">
        <v>238</v>
      </c>
    </row>
    <row r="106" hidden="1" spans="1:44">
      <c r="A106" t="s">
        <v>105</v>
      </c>
      <c r="B106" t="s">
        <v>36</v>
      </c>
      <c r="C106" s="209" t="s">
        <v>37</v>
      </c>
      <c r="D106" s="210">
        <v>71020121070038</v>
      </c>
      <c r="E106" s="211">
        <v>44378</v>
      </c>
      <c r="F106" t="s">
        <v>218</v>
      </c>
      <c r="G106" t="s">
        <v>219</v>
      </c>
      <c r="H106">
        <v>1</v>
      </c>
      <c r="I106" t="s">
        <v>122</v>
      </c>
      <c r="J106" t="s">
        <v>228</v>
      </c>
      <c r="K106" t="s">
        <v>221</v>
      </c>
      <c r="L106">
        <v>2300</v>
      </c>
      <c r="M106" s="211">
        <v>44398</v>
      </c>
      <c r="N106" s="211">
        <v>44398</v>
      </c>
      <c r="O106" s="212" t="s">
        <v>60</v>
      </c>
      <c r="P106" t="s">
        <v>222</v>
      </c>
      <c r="S106">
        <v>0</v>
      </c>
      <c r="T106">
        <v>0</v>
      </c>
      <c r="U106">
        <v>0</v>
      </c>
      <c r="V106">
        <v>0</v>
      </c>
      <c r="W106">
        <v>0</v>
      </c>
      <c r="X106" s="140">
        <v>2300</v>
      </c>
      <c r="Y106" s="209">
        <f t="shared" si="1"/>
        <v>2300</v>
      </c>
      <c r="Z106">
        <v>0</v>
      </c>
      <c r="AE106"/>
      <c r="AF106"/>
      <c r="AG106" t="s">
        <v>223</v>
      </c>
      <c r="AN106" t="s">
        <v>218</v>
      </c>
      <c r="AO106" t="s">
        <v>224</v>
      </c>
      <c r="AP106" t="s">
        <v>225</v>
      </c>
      <c r="AQ106">
        <v>0.13</v>
      </c>
      <c r="AR106" t="s">
        <v>238</v>
      </c>
    </row>
    <row r="107" hidden="1" spans="1:44">
      <c r="A107" t="s">
        <v>105</v>
      </c>
      <c r="B107" t="s">
        <v>36</v>
      </c>
      <c r="C107" s="209" t="s">
        <v>37</v>
      </c>
      <c r="D107" s="210">
        <v>71020121070354</v>
      </c>
      <c r="E107" s="211">
        <v>44384</v>
      </c>
      <c r="F107" t="s">
        <v>218</v>
      </c>
      <c r="G107" t="s">
        <v>219</v>
      </c>
      <c r="H107">
        <v>1</v>
      </c>
      <c r="I107" t="s">
        <v>135</v>
      </c>
      <c r="J107" t="s">
        <v>220</v>
      </c>
      <c r="K107" t="s">
        <v>221</v>
      </c>
      <c r="L107">
        <v>600</v>
      </c>
      <c r="M107" s="211">
        <v>44439</v>
      </c>
      <c r="N107" s="211">
        <v>44439</v>
      </c>
      <c r="O107" s="212" t="s">
        <v>227</v>
      </c>
      <c r="P107" t="s">
        <v>222</v>
      </c>
      <c r="S107">
        <v>0</v>
      </c>
      <c r="T107">
        <v>0</v>
      </c>
      <c r="U107">
        <v>0</v>
      </c>
      <c r="V107">
        <v>0</v>
      </c>
      <c r="W107">
        <v>0</v>
      </c>
      <c r="X107" s="140">
        <v>600</v>
      </c>
      <c r="Y107" s="209">
        <f t="shared" si="1"/>
        <v>600</v>
      </c>
      <c r="Z107">
        <v>0</v>
      </c>
      <c r="AE107"/>
      <c r="AF107"/>
      <c r="AG107" t="s">
        <v>223</v>
      </c>
      <c r="AN107" t="s">
        <v>218</v>
      </c>
      <c r="AO107" t="s">
        <v>224</v>
      </c>
      <c r="AP107" t="s">
        <v>225</v>
      </c>
      <c r="AQ107">
        <v>0.13</v>
      </c>
      <c r="AR107" t="s">
        <v>226</v>
      </c>
    </row>
    <row r="108" hidden="1" spans="1:44">
      <c r="A108" t="s">
        <v>105</v>
      </c>
      <c r="B108" t="s">
        <v>36</v>
      </c>
      <c r="C108" s="209" t="s">
        <v>37</v>
      </c>
      <c r="D108" s="210">
        <v>71020121070354</v>
      </c>
      <c r="E108" s="211">
        <v>44384</v>
      </c>
      <c r="F108" t="s">
        <v>218</v>
      </c>
      <c r="G108" t="s">
        <v>219</v>
      </c>
      <c r="H108">
        <v>2</v>
      </c>
      <c r="I108" t="s">
        <v>234</v>
      </c>
      <c r="J108" t="s">
        <v>229</v>
      </c>
      <c r="K108" t="s">
        <v>221</v>
      </c>
      <c r="L108">
        <v>300</v>
      </c>
      <c r="M108" s="211">
        <v>44414</v>
      </c>
      <c r="N108" s="211">
        <v>44414</v>
      </c>
      <c r="O108" s="212" t="s">
        <v>227</v>
      </c>
      <c r="P108" t="s">
        <v>222</v>
      </c>
      <c r="S108">
        <v>0</v>
      </c>
      <c r="T108">
        <v>0</v>
      </c>
      <c r="U108">
        <v>0</v>
      </c>
      <c r="V108">
        <v>0</v>
      </c>
      <c r="W108">
        <v>0</v>
      </c>
      <c r="X108" s="140">
        <v>300</v>
      </c>
      <c r="Y108" s="209">
        <f t="shared" si="1"/>
        <v>300</v>
      </c>
      <c r="Z108">
        <v>0</v>
      </c>
      <c r="AE108"/>
      <c r="AF108"/>
      <c r="AG108" t="s">
        <v>223</v>
      </c>
      <c r="AN108" t="s">
        <v>218</v>
      </c>
      <c r="AO108" t="s">
        <v>224</v>
      </c>
      <c r="AP108" t="s">
        <v>225</v>
      </c>
      <c r="AQ108">
        <v>0.13</v>
      </c>
      <c r="AR108" t="s">
        <v>226</v>
      </c>
    </row>
    <row r="109" hidden="1" spans="1:44">
      <c r="A109" t="s">
        <v>105</v>
      </c>
      <c r="B109" t="s">
        <v>36</v>
      </c>
      <c r="C109" s="209" t="s">
        <v>37</v>
      </c>
      <c r="D109" s="210">
        <v>71020121070354</v>
      </c>
      <c r="E109" s="211">
        <v>44384</v>
      </c>
      <c r="F109" t="s">
        <v>218</v>
      </c>
      <c r="G109" t="s">
        <v>219</v>
      </c>
      <c r="H109">
        <v>3</v>
      </c>
      <c r="I109" t="s">
        <v>233</v>
      </c>
      <c r="J109" t="s">
        <v>220</v>
      </c>
      <c r="K109" t="s">
        <v>221</v>
      </c>
      <c r="L109">
        <v>300</v>
      </c>
      <c r="M109" s="211">
        <v>44414</v>
      </c>
      <c r="N109" s="211">
        <v>44414</v>
      </c>
      <c r="O109" s="212" t="s">
        <v>227</v>
      </c>
      <c r="P109" t="s">
        <v>222</v>
      </c>
      <c r="S109">
        <v>0</v>
      </c>
      <c r="T109">
        <v>0</v>
      </c>
      <c r="U109">
        <v>0</v>
      </c>
      <c r="V109">
        <v>0</v>
      </c>
      <c r="W109">
        <v>0</v>
      </c>
      <c r="X109" s="140">
        <v>300</v>
      </c>
      <c r="Y109" s="209">
        <f t="shared" si="1"/>
        <v>300</v>
      </c>
      <c r="Z109">
        <v>0</v>
      </c>
      <c r="AE109"/>
      <c r="AF109"/>
      <c r="AG109" t="s">
        <v>223</v>
      </c>
      <c r="AN109" t="s">
        <v>218</v>
      </c>
      <c r="AO109" t="s">
        <v>224</v>
      </c>
      <c r="AP109" t="s">
        <v>225</v>
      </c>
      <c r="AQ109">
        <v>0.13</v>
      </c>
      <c r="AR109" t="s">
        <v>226</v>
      </c>
    </row>
    <row r="110" hidden="1" spans="1:44">
      <c r="A110" t="s">
        <v>105</v>
      </c>
      <c r="B110" t="s">
        <v>36</v>
      </c>
      <c r="C110" s="209" t="s">
        <v>37</v>
      </c>
      <c r="D110" s="210">
        <v>71020121070354</v>
      </c>
      <c r="E110" s="211">
        <v>44384</v>
      </c>
      <c r="F110" t="s">
        <v>218</v>
      </c>
      <c r="G110" t="s">
        <v>219</v>
      </c>
      <c r="H110">
        <v>4</v>
      </c>
      <c r="I110" t="s">
        <v>133</v>
      </c>
      <c r="J110" t="s">
        <v>220</v>
      </c>
      <c r="K110" t="s">
        <v>221</v>
      </c>
      <c r="L110">
        <v>300</v>
      </c>
      <c r="M110" s="211">
        <v>44407</v>
      </c>
      <c r="N110" s="211">
        <v>44407</v>
      </c>
      <c r="O110" s="212" t="s">
        <v>60</v>
      </c>
      <c r="P110" t="s">
        <v>222</v>
      </c>
      <c r="S110">
        <v>0</v>
      </c>
      <c r="T110">
        <v>0</v>
      </c>
      <c r="U110">
        <v>0</v>
      </c>
      <c r="V110">
        <v>0</v>
      </c>
      <c r="W110">
        <v>0</v>
      </c>
      <c r="X110" s="140">
        <v>300</v>
      </c>
      <c r="Y110" s="209">
        <f t="shared" si="1"/>
        <v>300</v>
      </c>
      <c r="Z110">
        <v>0</v>
      </c>
      <c r="AE110"/>
      <c r="AF110"/>
      <c r="AG110" t="s">
        <v>223</v>
      </c>
      <c r="AN110" t="s">
        <v>218</v>
      </c>
      <c r="AO110" t="s">
        <v>224</v>
      </c>
      <c r="AP110" t="s">
        <v>225</v>
      </c>
      <c r="AQ110">
        <v>0.13</v>
      </c>
      <c r="AR110" t="s">
        <v>226</v>
      </c>
    </row>
    <row r="111" hidden="1" spans="1:44">
      <c r="A111" t="s">
        <v>105</v>
      </c>
      <c r="B111" t="s">
        <v>36</v>
      </c>
      <c r="C111" s="209" t="s">
        <v>37</v>
      </c>
      <c r="D111" s="210">
        <v>71020121070354</v>
      </c>
      <c r="E111" s="211">
        <v>44384</v>
      </c>
      <c r="F111" t="s">
        <v>218</v>
      </c>
      <c r="G111" t="s">
        <v>219</v>
      </c>
      <c r="H111">
        <v>5</v>
      </c>
      <c r="I111" t="s">
        <v>123</v>
      </c>
      <c r="J111" t="s">
        <v>229</v>
      </c>
      <c r="K111" t="s">
        <v>221</v>
      </c>
      <c r="L111">
        <v>1000</v>
      </c>
      <c r="M111" s="211">
        <v>44404</v>
      </c>
      <c r="N111" s="211">
        <v>44404</v>
      </c>
      <c r="O111" s="212" t="s">
        <v>60</v>
      </c>
      <c r="P111" t="s">
        <v>222</v>
      </c>
      <c r="S111">
        <v>0</v>
      </c>
      <c r="T111">
        <v>0</v>
      </c>
      <c r="U111">
        <v>0</v>
      </c>
      <c r="V111">
        <v>0</v>
      </c>
      <c r="W111">
        <v>0</v>
      </c>
      <c r="X111" s="140">
        <v>1000</v>
      </c>
      <c r="Y111" s="209">
        <f t="shared" si="1"/>
        <v>1000</v>
      </c>
      <c r="Z111">
        <v>0</v>
      </c>
      <c r="AE111"/>
      <c r="AF111"/>
      <c r="AG111" t="s">
        <v>223</v>
      </c>
      <c r="AN111" t="s">
        <v>218</v>
      </c>
      <c r="AO111" t="s">
        <v>224</v>
      </c>
      <c r="AP111" t="s">
        <v>225</v>
      </c>
      <c r="AQ111">
        <v>0.13</v>
      </c>
      <c r="AR111" t="s">
        <v>226</v>
      </c>
    </row>
    <row r="112" hidden="1" spans="1:44">
      <c r="A112" t="s">
        <v>105</v>
      </c>
      <c r="B112" t="s">
        <v>36</v>
      </c>
      <c r="C112" s="209" t="s">
        <v>37</v>
      </c>
      <c r="D112" s="210">
        <v>71020121070354</v>
      </c>
      <c r="E112" s="211">
        <v>44384</v>
      </c>
      <c r="F112" t="s">
        <v>218</v>
      </c>
      <c r="G112" t="s">
        <v>219</v>
      </c>
      <c r="H112">
        <v>6</v>
      </c>
      <c r="I112" t="s">
        <v>123</v>
      </c>
      <c r="J112" t="s">
        <v>229</v>
      </c>
      <c r="K112" t="s">
        <v>221</v>
      </c>
      <c r="L112">
        <v>2000</v>
      </c>
      <c r="M112" s="211">
        <v>44407</v>
      </c>
      <c r="N112" s="211">
        <v>44407</v>
      </c>
      <c r="O112" s="212" t="s">
        <v>60</v>
      </c>
      <c r="P112" t="s">
        <v>222</v>
      </c>
      <c r="S112">
        <v>0</v>
      </c>
      <c r="T112">
        <v>0</v>
      </c>
      <c r="U112">
        <v>0</v>
      </c>
      <c r="V112">
        <v>0</v>
      </c>
      <c r="W112">
        <v>0</v>
      </c>
      <c r="X112" s="140">
        <v>2000</v>
      </c>
      <c r="Y112" s="209">
        <f t="shared" si="1"/>
        <v>2000</v>
      </c>
      <c r="Z112">
        <v>0</v>
      </c>
      <c r="AE112"/>
      <c r="AF112"/>
      <c r="AG112" t="s">
        <v>223</v>
      </c>
      <c r="AN112" t="s">
        <v>218</v>
      </c>
      <c r="AO112" t="s">
        <v>224</v>
      </c>
      <c r="AP112" t="s">
        <v>225</v>
      </c>
      <c r="AQ112">
        <v>0.13</v>
      </c>
      <c r="AR112" t="s">
        <v>226</v>
      </c>
    </row>
    <row r="113" hidden="1" spans="1:44">
      <c r="A113" t="s">
        <v>105</v>
      </c>
      <c r="B113" t="s">
        <v>36</v>
      </c>
      <c r="C113" s="209" t="s">
        <v>37</v>
      </c>
      <c r="D113" s="210">
        <v>71020121070354</v>
      </c>
      <c r="E113" s="211">
        <v>44384</v>
      </c>
      <c r="F113" t="s">
        <v>218</v>
      </c>
      <c r="G113" t="s">
        <v>219</v>
      </c>
      <c r="H113">
        <v>7</v>
      </c>
      <c r="I113" t="s">
        <v>123</v>
      </c>
      <c r="J113" t="s">
        <v>229</v>
      </c>
      <c r="K113" t="s">
        <v>221</v>
      </c>
      <c r="L113">
        <v>400</v>
      </c>
      <c r="M113" s="211">
        <v>44414</v>
      </c>
      <c r="N113" s="211">
        <v>44414</v>
      </c>
      <c r="O113" s="212" t="s">
        <v>227</v>
      </c>
      <c r="P113" t="s">
        <v>222</v>
      </c>
      <c r="S113">
        <v>0</v>
      </c>
      <c r="T113">
        <v>0</v>
      </c>
      <c r="U113">
        <v>0</v>
      </c>
      <c r="V113">
        <v>0</v>
      </c>
      <c r="W113">
        <v>0</v>
      </c>
      <c r="X113" s="140">
        <v>400</v>
      </c>
      <c r="Y113" s="209">
        <f t="shared" si="1"/>
        <v>400</v>
      </c>
      <c r="Z113">
        <v>0</v>
      </c>
      <c r="AE113"/>
      <c r="AF113"/>
      <c r="AG113" t="s">
        <v>223</v>
      </c>
      <c r="AN113" t="s">
        <v>218</v>
      </c>
      <c r="AO113" t="s">
        <v>224</v>
      </c>
      <c r="AP113" t="s">
        <v>225</v>
      </c>
      <c r="AQ113">
        <v>0.13</v>
      </c>
      <c r="AR113" t="s">
        <v>226</v>
      </c>
    </row>
    <row r="114" hidden="1" spans="1:44">
      <c r="A114" t="s">
        <v>105</v>
      </c>
      <c r="B114" t="s">
        <v>36</v>
      </c>
      <c r="C114" s="209" t="s">
        <v>37</v>
      </c>
      <c r="D114" s="210">
        <v>71020121070354</v>
      </c>
      <c r="E114" s="211">
        <v>44384</v>
      </c>
      <c r="F114" t="s">
        <v>218</v>
      </c>
      <c r="G114" t="s">
        <v>219</v>
      </c>
      <c r="H114">
        <v>8</v>
      </c>
      <c r="I114" t="s">
        <v>137</v>
      </c>
      <c r="J114" t="s">
        <v>220</v>
      </c>
      <c r="K114" t="s">
        <v>221</v>
      </c>
      <c r="L114">
        <v>7500</v>
      </c>
      <c r="M114" s="211">
        <v>44411</v>
      </c>
      <c r="N114" s="211">
        <v>44399</v>
      </c>
      <c r="O114" s="212" t="s">
        <v>60</v>
      </c>
      <c r="P114" t="s">
        <v>222</v>
      </c>
      <c r="S114">
        <v>0</v>
      </c>
      <c r="T114">
        <v>0</v>
      </c>
      <c r="U114">
        <v>0</v>
      </c>
      <c r="V114">
        <v>0</v>
      </c>
      <c r="W114">
        <v>0</v>
      </c>
      <c r="X114" s="140">
        <v>7500</v>
      </c>
      <c r="Y114" s="209">
        <f t="shared" si="1"/>
        <v>7500</v>
      </c>
      <c r="Z114">
        <v>0</v>
      </c>
      <c r="AE114"/>
      <c r="AF114"/>
      <c r="AG114" t="s">
        <v>223</v>
      </c>
      <c r="AN114" t="s">
        <v>218</v>
      </c>
      <c r="AO114" t="s">
        <v>224</v>
      </c>
      <c r="AP114" t="s">
        <v>225</v>
      </c>
      <c r="AQ114">
        <v>0.13</v>
      </c>
      <c r="AR114" t="s">
        <v>226</v>
      </c>
    </row>
    <row r="115" hidden="1" spans="1:44">
      <c r="A115" t="s">
        <v>105</v>
      </c>
      <c r="B115" t="s">
        <v>36</v>
      </c>
      <c r="C115" s="209" t="s">
        <v>37</v>
      </c>
      <c r="D115" s="210">
        <v>71020121070354</v>
      </c>
      <c r="E115" s="211">
        <v>44384</v>
      </c>
      <c r="F115" t="s">
        <v>218</v>
      </c>
      <c r="G115" t="s">
        <v>219</v>
      </c>
      <c r="H115">
        <v>9</v>
      </c>
      <c r="I115" t="s">
        <v>137</v>
      </c>
      <c r="J115" t="s">
        <v>220</v>
      </c>
      <c r="K115" t="s">
        <v>221</v>
      </c>
      <c r="L115">
        <v>7500</v>
      </c>
      <c r="M115" s="211">
        <v>44397</v>
      </c>
      <c r="N115" s="211">
        <v>44397</v>
      </c>
      <c r="O115" s="212" t="s">
        <v>60</v>
      </c>
      <c r="P115" t="s">
        <v>222</v>
      </c>
      <c r="S115">
        <v>0</v>
      </c>
      <c r="T115">
        <v>0</v>
      </c>
      <c r="U115">
        <v>0</v>
      </c>
      <c r="V115">
        <v>0</v>
      </c>
      <c r="W115">
        <v>0</v>
      </c>
      <c r="X115" s="140">
        <v>7500</v>
      </c>
      <c r="Y115" s="209">
        <f t="shared" si="1"/>
        <v>7500</v>
      </c>
      <c r="Z115">
        <v>0</v>
      </c>
      <c r="AE115"/>
      <c r="AF115"/>
      <c r="AG115" t="s">
        <v>223</v>
      </c>
      <c r="AN115" t="s">
        <v>218</v>
      </c>
      <c r="AO115" t="s">
        <v>224</v>
      </c>
      <c r="AP115" t="s">
        <v>225</v>
      </c>
      <c r="AQ115">
        <v>0.13</v>
      </c>
      <c r="AR115" t="s">
        <v>226</v>
      </c>
    </row>
    <row r="116" hidden="1" spans="1:44">
      <c r="A116" t="s">
        <v>105</v>
      </c>
      <c r="B116" t="s">
        <v>36</v>
      </c>
      <c r="C116" s="209" t="s">
        <v>37</v>
      </c>
      <c r="D116" s="210">
        <v>71020121070354</v>
      </c>
      <c r="E116" s="211">
        <v>44384</v>
      </c>
      <c r="F116" t="s">
        <v>218</v>
      </c>
      <c r="G116" t="s">
        <v>219</v>
      </c>
      <c r="H116">
        <v>10</v>
      </c>
      <c r="I116" t="s">
        <v>137</v>
      </c>
      <c r="J116" t="s">
        <v>220</v>
      </c>
      <c r="K116" t="s">
        <v>221</v>
      </c>
      <c r="L116">
        <v>7500</v>
      </c>
      <c r="M116" s="211">
        <v>44394</v>
      </c>
      <c r="N116" s="211">
        <v>44394</v>
      </c>
      <c r="O116" s="212" t="s">
        <v>60</v>
      </c>
      <c r="P116" t="s">
        <v>222</v>
      </c>
      <c r="S116">
        <v>0</v>
      </c>
      <c r="T116">
        <v>0</v>
      </c>
      <c r="U116">
        <v>0</v>
      </c>
      <c r="V116">
        <v>0</v>
      </c>
      <c r="W116">
        <v>0</v>
      </c>
      <c r="X116" s="140">
        <v>7500</v>
      </c>
      <c r="Y116" s="209">
        <f t="shared" si="1"/>
        <v>7500</v>
      </c>
      <c r="Z116">
        <v>0</v>
      </c>
      <c r="AE116"/>
      <c r="AF116"/>
      <c r="AG116" t="s">
        <v>223</v>
      </c>
      <c r="AN116" t="s">
        <v>218</v>
      </c>
      <c r="AO116" t="s">
        <v>224</v>
      </c>
      <c r="AP116" t="s">
        <v>225</v>
      </c>
      <c r="AQ116">
        <v>0.13</v>
      </c>
      <c r="AR116" t="s">
        <v>226</v>
      </c>
    </row>
    <row r="117" hidden="1" spans="1:44">
      <c r="A117" t="s">
        <v>105</v>
      </c>
      <c r="B117" t="s">
        <v>36</v>
      </c>
      <c r="C117" s="209" t="s">
        <v>37</v>
      </c>
      <c r="D117" s="210">
        <v>71020121070354</v>
      </c>
      <c r="E117" s="211">
        <v>44384</v>
      </c>
      <c r="F117" t="s">
        <v>218</v>
      </c>
      <c r="G117" t="s">
        <v>219</v>
      </c>
      <c r="H117">
        <v>11</v>
      </c>
      <c r="I117" t="s">
        <v>124</v>
      </c>
      <c r="J117" t="s">
        <v>228</v>
      </c>
      <c r="K117" t="s">
        <v>221</v>
      </c>
      <c r="L117">
        <v>400</v>
      </c>
      <c r="M117" s="211">
        <v>44400</v>
      </c>
      <c r="N117" s="211">
        <v>44400</v>
      </c>
      <c r="O117" s="212" t="s">
        <v>60</v>
      </c>
      <c r="P117" t="s">
        <v>222</v>
      </c>
      <c r="S117">
        <v>0</v>
      </c>
      <c r="T117">
        <v>0</v>
      </c>
      <c r="U117">
        <v>0</v>
      </c>
      <c r="V117">
        <v>0</v>
      </c>
      <c r="W117">
        <v>0</v>
      </c>
      <c r="X117" s="140">
        <v>400</v>
      </c>
      <c r="Y117" s="209">
        <f t="shared" si="1"/>
        <v>400</v>
      </c>
      <c r="Z117">
        <v>0</v>
      </c>
      <c r="AE117"/>
      <c r="AF117"/>
      <c r="AG117" t="s">
        <v>223</v>
      </c>
      <c r="AN117" t="s">
        <v>218</v>
      </c>
      <c r="AO117" t="s">
        <v>224</v>
      </c>
      <c r="AP117" t="s">
        <v>225</v>
      </c>
      <c r="AQ117">
        <v>0.13</v>
      </c>
      <c r="AR117" t="s">
        <v>226</v>
      </c>
    </row>
    <row r="118" hidden="1" spans="1:44">
      <c r="A118" t="s">
        <v>105</v>
      </c>
      <c r="B118" t="s">
        <v>36</v>
      </c>
      <c r="C118" s="209" t="s">
        <v>37</v>
      </c>
      <c r="D118" s="210">
        <v>71020121070574</v>
      </c>
      <c r="E118" s="211">
        <v>44389</v>
      </c>
      <c r="F118" t="s">
        <v>218</v>
      </c>
      <c r="G118" t="s">
        <v>219</v>
      </c>
      <c r="H118">
        <v>1</v>
      </c>
      <c r="I118" t="s">
        <v>232</v>
      </c>
      <c r="J118" t="s">
        <v>220</v>
      </c>
      <c r="K118" t="s">
        <v>221</v>
      </c>
      <c r="L118">
        <v>3900</v>
      </c>
      <c r="M118" s="211">
        <v>44442</v>
      </c>
      <c r="O118" s="212" t="s">
        <v>241</v>
      </c>
      <c r="P118" t="s">
        <v>222</v>
      </c>
      <c r="S118">
        <v>0</v>
      </c>
      <c r="T118">
        <v>0</v>
      </c>
      <c r="U118">
        <v>0</v>
      </c>
      <c r="V118">
        <v>0</v>
      </c>
      <c r="W118">
        <v>0</v>
      </c>
      <c r="X118" s="140">
        <v>3900</v>
      </c>
      <c r="Y118" s="209">
        <f t="shared" si="1"/>
        <v>3900</v>
      </c>
      <c r="Z118">
        <v>0</v>
      </c>
      <c r="AE118"/>
      <c r="AF118"/>
      <c r="AG118" t="s">
        <v>223</v>
      </c>
      <c r="AN118" t="s">
        <v>218</v>
      </c>
      <c r="AO118" t="s">
        <v>224</v>
      </c>
      <c r="AP118" t="s">
        <v>225</v>
      </c>
      <c r="AQ118">
        <v>0.13</v>
      </c>
      <c r="AR118" t="s">
        <v>238</v>
      </c>
    </row>
    <row r="119" hidden="1" spans="1:44">
      <c r="A119" t="s">
        <v>105</v>
      </c>
      <c r="B119" t="s">
        <v>36</v>
      </c>
      <c r="C119" s="209" t="s">
        <v>37</v>
      </c>
      <c r="D119" s="210">
        <v>71020121070574</v>
      </c>
      <c r="E119" s="211">
        <v>44389</v>
      </c>
      <c r="F119" t="s">
        <v>218</v>
      </c>
      <c r="G119" t="s">
        <v>219</v>
      </c>
      <c r="H119">
        <v>2</v>
      </c>
      <c r="I119" t="s">
        <v>235</v>
      </c>
      <c r="J119" t="s">
        <v>228</v>
      </c>
      <c r="K119" t="s">
        <v>221</v>
      </c>
      <c r="L119">
        <v>4400</v>
      </c>
      <c r="M119" s="211">
        <v>44442</v>
      </c>
      <c r="O119" s="212" t="s">
        <v>241</v>
      </c>
      <c r="P119" t="s">
        <v>222</v>
      </c>
      <c r="S119">
        <v>0</v>
      </c>
      <c r="T119">
        <v>0</v>
      </c>
      <c r="U119">
        <v>0</v>
      </c>
      <c r="V119">
        <v>0</v>
      </c>
      <c r="W119">
        <v>0</v>
      </c>
      <c r="X119" s="140">
        <v>4400</v>
      </c>
      <c r="Y119" s="209">
        <f t="shared" si="1"/>
        <v>4400</v>
      </c>
      <c r="Z119">
        <v>0</v>
      </c>
      <c r="AE119"/>
      <c r="AF119"/>
      <c r="AG119" t="s">
        <v>223</v>
      </c>
      <c r="AN119" t="s">
        <v>218</v>
      </c>
      <c r="AO119" t="s">
        <v>224</v>
      </c>
      <c r="AP119" t="s">
        <v>225</v>
      </c>
      <c r="AQ119">
        <v>0.13</v>
      </c>
      <c r="AR119" t="s">
        <v>238</v>
      </c>
    </row>
    <row r="120" hidden="1" spans="1:44">
      <c r="A120" t="s">
        <v>105</v>
      </c>
      <c r="B120" t="s">
        <v>36</v>
      </c>
      <c r="C120" s="209" t="s">
        <v>37</v>
      </c>
      <c r="D120" s="210">
        <v>71020121070574</v>
      </c>
      <c r="E120" s="211">
        <v>44389</v>
      </c>
      <c r="F120" t="s">
        <v>218</v>
      </c>
      <c r="G120" t="s">
        <v>219</v>
      </c>
      <c r="H120">
        <v>3</v>
      </c>
      <c r="I120" t="s">
        <v>126</v>
      </c>
      <c r="J120" t="s">
        <v>229</v>
      </c>
      <c r="K120" t="s">
        <v>221</v>
      </c>
      <c r="L120">
        <v>4500</v>
      </c>
      <c r="M120" s="211">
        <v>44405</v>
      </c>
      <c r="N120" s="211">
        <v>44405</v>
      </c>
      <c r="O120" s="212" t="s">
        <v>60</v>
      </c>
      <c r="P120" t="s">
        <v>222</v>
      </c>
      <c r="S120">
        <v>0</v>
      </c>
      <c r="T120">
        <v>0</v>
      </c>
      <c r="U120">
        <v>0</v>
      </c>
      <c r="V120">
        <v>0</v>
      </c>
      <c r="W120">
        <v>0</v>
      </c>
      <c r="X120" s="140">
        <v>4500</v>
      </c>
      <c r="Y120" s="209">
        <f t="shared" si="1"/>
        <v>4500</v>
      </c>
      <c r="Z120">
        <v>0</v>
      </c>
      <c r="AE120"/>
      <c r="AF120"/>
      <c r="AG120" t="s">
        <v>223</v>
      </c>
      <c r="AN120" t="s">
        <v>218</v>
      </c>
      <c r="AO120" t="s">
        <v>224</v>
      </c>
      <c r="AP120" t="s">
        <v>225</v>
      </c>
      <c r="AQ120">
        <v>0.13</v>
      </c>
      <c r="AR120" t="s">
        <v>238</v>
      </c>
    </row>
    <row r="121" hidden="1" spans="1:44">
      <c r="A121" t="s">
        <v>105</v>
      </c>
      <c r="B121" t="s">
        <v>36</v>
      </c>
      <c r="C121" s="209" t="s">
        <v>37</v>
      </c>
      <c r="D121" s="210">
        <v>71020121070574</v>
      </c>
      <c r="E121" s="211">
        <v>44389</v>
      </c>
      <c r="F121" t="s">
        <v>218</v>
      </c>
      <c r="G121" t="s">
        <v>219</v>
      </c>
      <c r="H121">
        <v>4</v>
      </c>
      <c r="I121" t="s">
        <v>133</v>
      </c>
      <c r="J121" t="s">
        <v>220</v>
      </c>
      <c r="K121" t="s">
        <v>221</v>
      </c>
      <c r="L121">
        <v>11200</v>
      </c>
      <c r="M121" s="211">
        <v>44450</v>
      </c>
      <c r="O121" s="212" t="s">
        <v>241</v>
      </c>
      <c r="P121" t="s">
        <v>222</v>
      </c>
      <c r="S121">
        <v>0</v>
      </c>
      <c r="T121">
        <v>0</v>
      </c>
      <c r="U121">
        <v>0</v>
      </c>
      <c r="V121">
        <v>0</v>
      </c>
      <c r="W121">
        <v>0</v>
      </c>
      <c r="X121" s="140">
        <v>11200</v>
      </c>
      <c r="Y121" s="209">
        <f t="shared" si="1"/>
        <v>11200</v>
      </c>
      <c r="Z121">
        <v>0</v>
      </c>
      <c r="AE121"/>
      <c r="AF121"/>
      <c r="AG121" t="s">
        <v>223</v>
      </c>
      <c r="AN121" t="s">
        <v>218</v>
      </c>
      <c r="AO121" t="s">
        <v>224</v>
      </c>
      <c r="AP121" t="s">
        <v>225</v>
      </c>
      <c r="AQ121">
        <v>0.13</v>
      </c>
      <c r="AR121" t="s">
        <v>238</v>
      </c>
    </row>
    <row r="122" hidden="1" spans="1:44">
      <c r="A122" t="s">
        <v>105</v>
      </c>
      <c r="B122" t="s">
        <v>36</v>
      </c>
      <c r="C122" s="209" t="s">
        <v>37</v>
      </c>
      <c r="D122" s="210">
        <v>71020121070574</v>
      </c>
      <c r="E122" s="211">
        <v>44389</v>
      </c>
      <c r="F122" t="s">
        <v>218</v>
      </c>
      <c r="G122" t="s">
        <v>219</v>
      </c>
      <c r="H122">
        <v>5</v>
      </c>
      <c r="I122" t="s">
        <v>122</v>
      </c>
      <c r="J122" t="s">
        <v>228</v>
      </c>
      <c r="K122" t="s">
        <v>221</v>
      </c>
      <c r="L122">
        <v>4000</v>
      </c>
      <c r="M122" s="211">
        <v>44405</v>
      </c>
      <c r="N122" s="211">
        <v>44405</v>
      </c>
      <c r="O122" s="212" t="s">
        <v>60</v>
      </c>
      <c r="P122" t="s">
        <v>222</v>
      </c>
      <c r="S122">
        <v>0</v>
      </c>
      <c r="T122">
        <v>0</v>
      </c>
      <c r="U122">
        <v>0</v>
      </c>
      <c r="V122">
        <v>0</v>
      </c>
      <c r="W122">
        <v>0</v>
      </c>
      <c r="X122" s="140">
        <v>4000</v>
      </c>
      <c r="Y122" s="209">
        <f t="shared" si="1"/>
        <v>4000</v>
      </c>
      <c r="Z122">
        <v>0</v>
      </c>
      <c r="AE122"/>
      <c r="AF122"/>
      <c r="AG122" t="s">
        <v>223</v>
      </c>
      <c r="AN122" t="s">
        <v>218</v>
      </c>
      <c r="AO122" t="s">
        <v>224</v>
      </c>
      <c r="AP122" t="s">
        <v>225</v>
      </c>
      <c r="AQ122">
        <v>0.13</v>
      </c>
      <c r="AR122" t="s">
        <v>238</v>
      </c>
    </row>
    <row r="123" hidden="1" spans="1:44">
      <c r="A123" t="s">
        <v>105</v>
      </c>
      <c r="B123" t="s">
        <v>18</v>
      </c>
      <c r="C123" s="209" t="s">
        <v>19</v>
      </c>
      <c r="D123" s="210">
        <v>71020121032216</v>
      </c>
      <c r="E123" s="211">
        <v>44312</v>
      </c>
      <c r="F123" t="s">
        <v>218</v>
      </c>
      <c r="G123" t="s">
        <v>219</v>
      </c>
      <c r="H123">
        <v>5</v>
      </c>
      <c r="I123" t="s">
        <v>171</v>
      </c>
      <c r="J123" t="s">
        <v>242</v>
      </c>
      <c r="K123" t="s">
        <v>221</v>
      </c>
      <c r="L123">
        <v>6000</v>
      </c>
      <c r="M123" s="211">
        <v>44322</v>
      </c>
      <c r="N123" s="211">
        <v>44344</v>
      </c>
      <c r="O123" s="212" t="s">
        <v>60</v>
      </c>
      <c r="P123" t="s">
        <v>222</v>
      </c>
      <c r="S123">
        <v>5580</v>
      </c>
      <c r="T123">
        <v>5580</v>
      </c>
      <c r="U123">
        <v>0</v>
      </c>
      <c r="V123">
        <v>5580</v>
      </c>
      <c r="W123">
        <v>0</v>
      </c>
      <c r="X123" s="140">
        <v>420</v>
      </c>
      <c r="Y123" s="209">
        <f t="shared" si="1"/>
        <v>420</v>
      </c>
      <c r="Z123">
        <v>0</v>
      </c>
      <c r="AE123">
        <v>44372</v>
      </c>
      <c r="AF123">
        <v>44372</v>
      </c>
      <c r="AG123" t="s">
        <v>223</v>
      </c>
      <c r="AN123" t="s">
        <v>218</v>
      </c>
      <c r="AO123" t="s">
        <v>224</v>
      </c>
      <c r="AP123" t="s">
        <v>225</v>
      </c>
      <c r="AQ123">
        <v>0.13</v>
      </c>
      <c r="AR123" t="s">
        <v>226</v>
      </c>
    </row>
    <row r="124" hidden="1" spans="1:44">
      <c r="A124" t="s">
        <v>105</v>
      </c>
      <c r="B124" t="s">
        <v>18</v>
      </c>
      <c r="C124" s="209" t="s">
        <v>19</v>
      </c>
      <c r="D124" s="210">
        <v>71020121032219</v>
      </c>
      <c r="E124" s="211">
        <v>44312</v>
      </c>
      <c r="F124" t="s">
        <v>218</v>
      </c>
      <c r="G124" t="s">
        <v>219</v>
      </c>
      <c r="H124">
        <v>1</v>
      </c>
      <c r="I124" t="s">
        <v>171</v>
      </c>
      <c r="J124" t="s">
        <v>242</v>
      </c>
      <c r="K124" t="s">
        <v>221</v>
      </c>
      <c r="L124">
        <v>1200</v>
      </c>
      <c r="M124" s="211">
        <v>44324</v>
      </c>
      <c r="N124" s="211">
        <v>44346</v>
      </c>
      <c r="O124" s="212" t="s">
        <v>60</v>
      </c>
      <c r="P124" t="s">
        <v>222</v>
      </c>
      <c r="S124">
        <v>0</v>
      </c>
      <c r="T124">
        <v>0</v>
      </c>
      <c r="U124">
        <v>0</v>
      </c>
      <c r="V124">
        <v>0</v>
      </c>
      <c r="W124">
        <v>0</v>
      </c>
      <c r="X124" s="140">
        <v>1200</v>
      </c>
      <c r="Y124" s="209">
        <f t="shared" si="1"/>
        <v>1200</v>
      </c>
      <c r="Z124">
        <v>0</v>
      </c>
      <c r="AE124"/>
      <c r="AF124"/>
      <c r="AG124" t="s">
        <v>223</v>
      </c>
      <c r="AN124" t="s">
        <v>218</v>
      </c>
      <c r="AO124" t="s">
        <v>224</v>
      </c>
      <c r="AP124" t="s">
        <v>225</v>
      </c>
      <c r="AQ124">
        <v>0.13</v>
      </c>
      <c r="AR124" t="s">
        <v>226</v>
      </c>
    </row>
    <row r="125" hidden="1" spans="1:44">
      <c r="A125" t="s">
        <v>105</v>
      </c>
      <c r="B125" t="s">
        <v>18</v>
      </c>
      <c r="C125" s="209" t="s">
        <v>19</v>
      </c>
      <c r="D125" s="210">
        <v>71020121032236</v>
      </c>
      <c r="E125" s="211">
        <v>44313</v>
      </c>
      <c r="F125" t="s">
        <v>218</v>
      </c>
      <c r="G125" t="s">
        <v>219</v>
      </c>
      <c r="H125">
        <v>3</v>
      </c>
      <c r="I125" t="s">
        <v>163</v>
      </c>
      <c r="J125" t="s">
        <v>243</v>
      </c>
      <c r="K125" t="s">
        <v>221</v>
      </c>
      <c r="L125">
        <v>5900</v>
      </c>
      <c r="M125" s="211">
        <v>44340</v>
      </c>
      <c r="N125" s="211">
        <v>44340</v>
      </c>
      <c r="O125" s="212" t="s">
        <v>60</v>
      </c>
      <c r="P125" t="s">
        <v>222</v>
      </c>
      <c r="S125">
        <v>5120</v>
      </c>
      <c r="T125">
        <v>5120</v>
      </c>
      <c r="U125">
        <v>0</v>
      </c>
      <c r="V125">
        <v>5120</v>
      </c>
      <c r="W125">
        <v>0</v>
      </c>
      <c r="X125" s="140">
        <v>780</v>
      </c>
      <c r="Y125" s="209">
        <f t="shared" si="1"/>
        <v>780</v>
      </c>
      <c r="Z125">
        <v>0</v>
      </c>
      <c r="AE125">
        <v>44377</v>
      </c>
      <c r="AF125">
        <v>44380</v>
      </c>
      <c r="AG125" t="s">
        <v>223</v>
      </c>
      <c r="AN125" t="s">
        <v>218</v>
      </c>
      <c r="AO125" t="s">
        <v>224</v>
      </c>
      <c r="AP125" t="s">
        <v>225</v>
      </c>
      <c r="AQ125">
        <v>0.13</v>
      </c>
      <c r="AR125" t="s">
        <v>226</v>
      </c>
    </row>
    <row r="126" hidden="1" spans="1:44">
      <c r="A126" t="s">
        <v>105</v>
      </c>
      <c r="B126" t="s">
        <v>18</v>
      </c>
      <c r="C126" s="209" t="s">
        <v>19</v>
      </c>
      <c r="D126" s="210">
        <v>71020121050651</v>
      </c>
      <c r="E126" s="211">
        <v>44329</v>
      </c>
      <c r="F126" t="s">
        <v>218</v>
      </c>
      <c r="G126" t="s">
        <v>219</v>
      </c>
      <c r="H126">
        <v>1</v>
      </c>
      <c r="I126" t="s">
        <v>169</v>
      </c>
      <c r="J126" t="s">
        <v>244</v>
      </c>
      <c r="K126" t="s">
        <v>221</v>
      </c>
      <c r="L126">
        <v>4000</v>
      </c>
      <c r="M126" s="211">
        <v>44354</v>
      </c>
      <c r="N126" s="211">
        <v>44373</v>
      </c>
      <c r="O126" s="212" t="s">
        <v>60</v>
      </c>
      <c r="P126" t="s">
        <v>222</v>
      </c>
      <c r="S126">
        <v>0</v>
      </c>
      <c r="T126">
        <v>0</v>
      </c>
      <c r="U126">
        <v>0</v>
      </c>
      <c r="V126">
        <v>0</v>
      </c>
      <c r="W126">
        <v>0</v>
      </c>
      <c r="X126" s="140">
        <v>4000</v>
      </c>
      <c r="Y126" s="209">
        <f t="shared" si="1"/>
        <v>4000</v>
      </c>
      <c r="Z126">
        <v>0</v>
      </c>
      <c r="AE126"/>
      <c r="AF126"/>
      <c r="AG126" t="s">
        <v>223</v>
      </c>
      <c r="AN126" t="s">
        <v>218</v>
      </c>
      <c r="AO126" t="s">
        <v>224</v>
      </c>
      <c r="AP126" t="s">
        <v>225</v>
      </c>
      <c r="AQ126">
        <v>0.13</v>
      </c>
      <c r="AR126" t="s">
        <v>226</v>
      </c>
    </row>
    <row r="127" hidden="1" spans="1:44">
      <c r="A127" t="s">
        <v>105</v>
      </c>
      <c r="B127" t="s">
        <v>18</v>
      </c>
      <c r="C127" s="209" t="s">
        <v>19</v>
      </c>
      <c r="D127" s="210">
        <v>71020121050651</v>
      </c>
      <c r="E127" s="211">
        <v>44329</v>
      </c>
      <c r="F127" t="s">
        <v>218</v>
      </c>
      <c r="G127" t="s">
        <v>219</v>
      </c>
      <c r="H127">
        <v>2</v>
      </c>
      <c r="I127" t="s">
        <v>169</v>
      </c>
      <c r="J127" t="s">
        <v>244</v>
      </c>
      <c r="K127" t="s">
        <v>221</v>
      </c>
      <c r="L127">
        <v>4000</v>
      </c>
      <c r="M127" s="211">
        <v>44352</v>
      </c>
      <c r="N127" s="211">
        <v>44371</v>
      </c>
      <c r="O127" s="212" t="s">
        <v>60</v>
      </c>
      <c r="P127" t="s">
        <v>222</v>
      </c>
      <c r="S127">
        <v>0</v>
      </c>
      <c r="T127">
        <v>0</v>
      </c>
      <c r="U127">
        <v>0</v>
      </c>
      <c r="V127">
        <v>0</v>
      </c>
      <c r="W127">
        <v>0</v>
      </c>
      <c r="X127" s="140">
        <v>4000</v>
      </c>
      <c r="Y127" s="209">
        <f t="shared" si="1"/>
        <v>4000</v>
      </c>
      <c r="Z127">
        <v>0</v>
      </c>
      <c r="AE127"/>
      <c r="AF127"/>
      <c r="AG127" t="s">
        <v>223</v>
      </c>
      <c r="AN127" t="s">
        <v>218</v>
      </c>
      <c r="AO127" t="s">
        <v>224</v>
      </c>
      <c r="AP127" t="s">
        <v>225</v>
      </c>
      <c r="AQ127">
        <v>0.13</v>
      </c>
      <c r="AR127" t="s">
        <v>226</v>
      </c>
    </row>
    <row r="128" hidden="1" spans="1:44">
      <c r="A128" t="s">
        <v>105</v>
      </c>
      <c r="B128" t="s">
        <v>18</v>
      </c>
      <c r="C128" s="209" t="s">
        <v>19</v>
      </c>
      <c r="D128" s="210">
        <v>71020121050651</v>
      </c>
      <c r="E128" s="211">
        <v>44329</v>
      </c>
      <c r="F128" t="s">
        <v>218</v>
      </c>
      <c r="G128" t="s">
        <v>219</v>
      </c>
      <c r="H128">
        <v>4</v>
      </c>
      <c r="I128" t="s">
        <v>169</v>
      </c>
      <c r="J128" t="s">
        <v>244</v>
      </c>
      <c r="K128" t="s">
        <v>221</v>
      </c>
      <c r="L128">
        <v>6700</v>
      </c>
      <c r="M128" s="211">
        <v>44374</v>
      </c>
      <c r="N128" s="211">
        <v>44394</v>
      </c>
      <c r="O128" s="212" t="s">
        <v>60</v>
      </c>
      <c r="P128" t="s">
        <v>222</v>
      </c>
      <c r="S128">
        <v>0</v>
      </c>
      <c r="T128">
        <v>0</v>
      </c>
      <c r="U128">
        <v>0</v>
      </c>
      <c r="V128">
        <v>0</v>
      </c>
      <c r="W128">
        <v>0</v>
      </c>
      <c r="X128" s="140">
        <v>6700</v>
      </c>
      <c r="Y128" s="209">
        <f t="shared" si="1"/>
        <v>6700</v>
      </c>
      <c r="Z128">
        <v>0</v>
      </c>
      <c r="AE128"/>
      <c r="AF128"/>
      <c r="AG128" t="s">
        <v>223</v>
      </c>
      <c r="AN128" t="s">
        <v>218</v>
      </c>
      <c r="AO128" t="s">
        <v>224</v>
      </c>
      <c r="AP128" t="s">
        <v>225</v>
      </c>
      <c r="AQ128">
        <v>0.13</v>
      </c>
      <c r="AR128" t="s">
        <v>226</v>
      </c>
    </row>
    <row r="129" hidden="1" spans="1:44">
      <c r="A129" t="s">
        <v>105</v>
      </c>
      <c r="B129" t="s">
        <v>18</v>
      </c>
      <c r="C129" s="209" t="s">
        <v>19</v>
      </c>
      <c r="D129" s="210">
        <v>71020121050651</v>
      </c>
      <c r="E129" s="211">
        <v>44329</v>
      </c>
      <c r="F129" t="s">
        <v>218</v>
      </c>
      <c r="G129" t="s">
        <v>219</v>
      </c>
      <c r="H129">
        <v>5</v>
      </c>
      <c r="I129" t="s">
        <v>169</v>
      </c>
      <c r="J129" t="s">
        <v>244</v>
      </c>
      <c r="K129" t="s">
        <v>221</v>
      </c>
      <c r="L129">
        <v>4000</v>
      </c>
      <c r="M129" s="211">
        <v>44350</v>
      </c>
      <c r="N129" s="211">
        <v>44369</v>
      </c>
      <c r="O129" s="212" t="s">
        <v>60</v>
      </c>
      <c r="P129" t="s">
        <v>222</v>
      </c>
      <c r="S129">
        <v>0</v>
      </c>
      <c r="T129">
        <v>0</v>
      </c>
      <c r="U129">
        <v>0</v>
      </c>
      <c r="V129">
        <v>0</v>
      </c>
      <c r="W129">
        <v>0</v>
      </c>
      <c r="X129" s="140">
        <v>4000</v>
      </c>
      <c r="Y129" s="209">
        <f t="shared" si="1"/>
        <v>4000</v>
      </c>
      <c r="Z129">
        <v>0</v>
      </c>
      <c r="AE129"/>
      <c r="AF129"/>
      <c r="AG129" t="s">
        <v>223</v>
      </c>
      <c r="AN129" t="s">
        <v>218</v>
      </c>
      <c r="AO129" t="s">
        <v>224</v>
      </c>
      <c r="AP129" t="s">
        <v>225</v>
      </c>
      <c r="AQ129">
        <v>0.13</v>
      </c>
      <c r="AR129" t="s">
        <v>226</v>
      </c>
    </row>
    <row r="130" hidden="1" spans="1:44">
      <c r="A130" t="s">
        <v>105</v>
      </c>
      <c r="B130" t="s">
        <v>18</v>
      </c>
      <c r="C130" s="209" t="s">
        <v>19</v>
      </c>
      <c r="D130" s="210">
        <v>71020121050651</v>
      </c>
      <c r="E130" s="211">
        <v>44329</v>
      </c>
      <c r="F130" t="s">
        <v>218</v>
      </c>
      <c r="G130" t="s">
        <v>219</v>
      </c>
      <c r="H130">
        <v>7</v>
      </c>
      <c r="I130" t="s">
        <v>169</v>
      </c>
      <c r="J130" t="s">
        <v>244</v>
      </c>
      <c r="K130" t="s">
        <v>221</v>
      </c>
      <c r="L130">
        <v>4000</v>
      </c>
      <c r="M130" s="211">
        <v>44348</v>
      </c>
      <c r="N130" s="211">
        <v>44367</v>
      </c>
      <c r="O130" s="212" t="s">
        <v>60</v>
      </c>
      <c r="P130" t="s">
        <v>222</v>
      </c>
      <c r="S130">
        <v>2060</v>
      </c>
      <c r="T130">
        <v>2060</v>
      </c>
      <c r="U130">
        <v>0</v>
      </c>
      <c r="V130">
        <v>0</v>
      </c>
      <c r="W130">
        <v>0</v>
      </c>
      <c r="X130" s="140">
        <v>4000</v>
      </c>
      <c r="Y130" s="209">
        <f t="shared" si="1"/>
        <v>1940</v>
      </c>
      <c r="Z130">
        <v>0</v>
      </c>
      <c r="AE130">
        <v>44392</v>
      </c>
      <c r="AF130"/>
      <c r="AG130" t="s">
        <v>223</v>
      </c>
      <c r="AN130" t="s">
        <v>218</v>
      </c>
      <c r="AO130" t="s">
        <v>224</v>
      </c>
      <c r="AP130" t="s">
        <v>225</v>
      </c>
      <c r="AQ130">
        <v>0.13</v>
      </c>
      <c r="AR130" t="s">
        <v>226</v>
      </c>
    </row>
    <row r="131" hidden="1" spans="1:44">
      <c r="A131" t="s">
        <v>105</v>
      </c>
      <c r="B131" t="s">
        <v>18</v>
      </c>
      <c r="C131" s="209" t="s">
        <v>19</v>
      </c>
      <c r="D131" s="210">
        <v>71020121050651</v>
      </c>
      <c r="E131" s="211">
        <v>44329</v>
      </c>
      <c r="F131" t="s">
        <v>245</v>
      </c>
      <c r="G131" t="s">
        <v>219</v>
      </c>
      <c r="H131">
        <v>8</v>
      </c>
      <c r="I131" t="s">
        <v>169</v>
      </c>
      <c r="J131" t="s">
        <v>244</v>
      </c>
      <c r="K131" t="s">
        <v>221</v>
      </c>
      <c r="L131">
        <v>4000</v>
      </c>
      <c r="M131" s="211">
        <v>44347</v>
      </c>
      <c r="N131" s="211">
        <v>44365</v>
      </c>
      <c r="O131" s="212" t="s">
        <v>60</v>
      </c>
      <c r="P131" t="s">
        <v>222</v>
      </c>
      <c r="S131">
        <v>4000</v>
      </c>
      <c r="T131">
        <v>4000</v>
      </c>
      <c r="U131">
        <v>0</v>
      </c>
      <c r="V131">
        <v>3040</v>
      </c>
      <c r="W131">
        <v>0</v>
      </c>
      <c r="X131" s="140">
        <v>960</v>
      </c>
      <c r="Y131" s="209">
        <f t="shared" ref="Y131:Y194" si="2">L131-S131</f>
        <v>0</v>
      </c>
      <c r="Z131">
        <v>0</v>
      </c>
      <c r="AE131" s="211">
        <v>44392</v>
      </c>
      <c r="AF131" s="211">
        <v>44390</v>
      </c>
      <c r="AG131" t="s">
        <v>223</v>
      </c>
      <c r="AN131" t="s">
        <v>218</v>
      </c>
      <c r="AO131" t="s">
        <v>224</v>
      </c>
      <c r="AP131" t="s">
        <v>225</v>
      </c>
      <c r="AQ131">
        <v>0.13</v>
      </c>
      <c r="AR131" t="s">
        <v>226</v>
      </c>
    </row>
    <row r="132" hidden="1" spans="1:44">
      <c r="A132" t="s">
        <v>105</v>
      </c>
      <c r="B132" t="s">
        <v>18</v>
      </c>
      <c r="C132" s="209" t="s">
        <v>19</v>
      </c>
      <c r="D132" s="210">
        <v>71020121051190</v>
      </c>
      <c r="E132" s="211">
        <v>44342</v>
      </c>
      <c r="F132" t="s">
        <v>218</v>
      </c>
      <c r="G132" t="s">
        <v>219</v>
      </c>
      <c r="H132">
        <v>2</v>
      </c>
      <c r="I132" t="s">
        <v>171</v>
      </c>
      <c r="J132" t="s">
        <v>242</v>
      </c>
      <c r="K132" t="s">
        <v>221</v>
      </c>
      <c r="L132">
        <v>1600</v>
      </c>
      <c r="M132" s="211">
        <v>44348</v>
      </c>
      <c r="N132" s="211">
        <v>44348</v>
      </c>
      <c r="O132" s="212" t="s">
        <v>60</v>
      </c>
      <c r="P132" t="s">
        <v>222</v>
      </c>
      <c r="S132">
        <v>0</v>
      </c>
      <c r="T132">
        <v>0</v>
      </c>
      <c r="U132">
        <v>0</v>
      </c>
      <c r="V132">
        <v>0</v>
      </c>
      <c r="W132">
        <v>0</v>
      </c>
      <c r="X132" s="140">
        <v>1600</v>
      </c>
      <c r="Y132" s="209">
        <f t="shared" si="2"/>
        <v>1600</v>
      </c>
      <c r="Z132">
        <v>0</v>
      </c>
      <c r="AE132"/>
      <c r="AF132"/>
      <c r="AG132" t="s">
        <v>223</v>
      </c>
      <c r="AN132" t="s">
        <v>218</v>
      </c>
      <c r="AO132" t="s">
        <v>224</v>
      </c>
      <c r="AP132" t="s">
        <v>225</v>
      </c>
      <c r="AQ132">
        <v>0.13</v>
      </c>
      <c r="AR132" t="s">
        <v>226</v>
      </c>
    </row>
    <row r="133" hidden="1" spans="1:44">
      <c r="A133" t="s">
        <v>105</v>
      </c>
      <c r="B133" t="s">
        <v>18</v>
      </c>
      <c r="C133" s="209" t="s">
        <v>19</v>
      </c>
      <c r="D133" s="210">
        <v>71020121051437</v>
      </c>
      <c r="E133" s="211">
        <v>44347</v>
      </c>
      <c r="F133" t="s">
        <v>218</v>
      </c>
      <c r="G133" t="s">
        <v>219</v>
      </c>
      <c r="H133">
        <v>1</v>
      </c>
      <c r="I133" t="s">
        <v>169</v>
      </c>
      <c r="J133" t="s">
        <v>244</v>
      </c>
      <c r="K133" t="s">
        <v>221</v>
      </c>
      <c r="L133">
        <v>1400</v>
      </c>
      <c r="M133" s="211">
        <v>44411</v>
      </c>
      <c r="N133" s="211">
        <v>44411</v>
      </c>
      <c r="O133" s="212" t="s">
        <v>227</v>
      </c>
      <c r="P133" t="s">
        <v>222</v>
      </c>
      <c r="S133">
        <v>0</v>
      </c>
      <c r="T133">
        <v>0</v>
      </c>
      <c r="U133">
        <v>0</v>
      </c>
      <c r="V133">
        <v>0</v>
      </c>
      <c r="W133">
        <v>0</v>
      </c>
      <c r="X133" s="140">
        <v>1400</v>
      </c>
      <c r="Y133" s="209">
        <f t="shared" si="2"/>
        <v>1400</v>
      </c>
      <c r="Z133">
        <v>0</v>
      </c>
      <c r="AE133"/>
      <c r="AF133"/>
      <c r="AG133" t="s">
        <v>223</v>
      </c>
      <c r="AN133" t="s">
        <v>218</v>
      </c>
      <c r="AO133" t="s">
        <v>224</v>
      </c>
      <c r="AP133" t="s">
        <v>225</v>
      </c>
      <c r="AQ133">
        <v>0.13</v>
      </c>
      <c r="AR133" t="s">
        <v>226</v>
      </c>
    </row>
    <row r="134" hidden="1" spans="1:44">
      <c r="A134" t="s">
        <v>105</v>
      </c>
      <c r="B134" t="s">
        <v>18</v>
      </c>
      <c r="C134" s="209" t="s">
        <v>19</v>
      </c>
      <c r="D134" s="210">
        <v>71020121051437</v>
      </c>
      <c r="E134" s="211">
        <v>44347</v>
      </c>
      <c r="F134" t="s">
        <v>218</v>
      </c>
      <c r="G134" t="s">
        <v>219</v>
      </c>
      <c r="H134">
        <v>2</v>
      </c>
      <c r="I134" t="s">
        <v>165</v>
      </c>
      <c r="J134" t="s">
        <v>246</v>
      </c>
      <c r="K134" t="s">
        <v>221</v>
      </c>
      <c r="L134">
        <v>5500</v>
      </c>
      <c r="M134" s="211">
        <v>44427</v>
      </c>
      <c r="N134" s="211">
        <v>44427</v>
      </c>
      <c r="O134" s="212" t="s">
        <v>227</v>
      </c>
      <c r="P134" t="s">
        <v>222</v>
      </c>
      <c r="S134">
        <v>0</v>
      </c>
      <c r="T134">
        <v>0</v>
      </c>
      <c r="U134">
        <v>0</v>
      </c>
      <c r="V134">
        <v>0</v>
      </c>
      <c r="W134">
        <v>0</v>
      </c>
      <c r="X134" s="140">
        <v>5500</v>
      </c>
      <c r="Y134" s="209">
        <f t="shared" si="2"/>
        <v>5500</v>
      </c>
      <c r="Z134">
        <v>0</v>
      </c>
      <c r="AE134"/>
      <c r="AF134"/>
      <c r="AG134" t="s">
        <v>223</v>
      </c>
      <c r="AN134" t="s">
        <v>218</v>
      </c>
      <c r="AO134" t="s">
        <v>224</v>
      </c>
      <c r="AP134" t="s">
        <v>225</v>
      </c>
      <c r="AQ134">
        <v>0.13</v>
      </c>
      <c r="AR134" t="s">
        <v>226</v>
      </c>
    </row>
    <row r="135" hidden="1" spans="1:44">
      <c r="A135" t="s">
        <v>105</v>
      </c>
      <c r="B135" t="s">
        <v>18</v>
      </c>
      <c r="C135" s="209" t="s">
        <v>19</v>
      </c>
      <c r="D135" s="210">
        <v>71020121051437</v>
      </c>
      <c r="E135" s="211">
        <v>44347</v>
      </c>
      <c r="F135" t="s">
        <v>218</v>
      </c>
      <c r="G135" t="s">
        <v>219</v>
      </c>
      <c r="H135">
        <v>3</v>
      </c>
      <c r="I135" t="s">
        <v>165</v>
      </c>
      <c r="J135" t="s">
        <v>246</v>
      </c>
      <c r="K135" t="s">
        <v>221</v>
      </c>
      <c r="L135">
        <v>6000</v>
      </c>
      <c r="M135" s="211">
        <v>44426</v>
      </c>
      <c r="N135" s="211">
        <v>44426</v>
      </c>
      <c r="O135" s="212" t="s">
        <v>227</v>
      </c>
      <c r="P135" t="s">
        <v>222</v>
      </c>
      <c r="S135">
        <v>0</v>
      </c>
      <c r="T135">
        <v>0</v>
      </c>
      <c r="U135">
        <v>0</v>
      </c>
      <c r="V135">
        <v>0</v>
      </c>
      <c r="W135">
        <v>0</v>
      </c>
      <c r="X135" s="140">
        <v>6000</v>
      </c>
      <c r="Y135" s="209">
        <f t="shared" si="2"/>
        <v>6000</v>
      </c>
      <c r="Z135">
        <v>0</v>
      </c>
      <c r="AE135"/>
      <c r="AF135"/>
      <c r="AG135" t="s">
        <v>223</v>
      </c>
      <c r="AN135" t="s">
        <v>218</v>
      </c>
      <c r="AO135" t="s">
        <v>224</v>
      </c>
      <c r="AP135" t="s">
        <v>225</v>
      </c>
      <c r="AQ135">
        <v>0.13</v>
      </c>
      <c r="AR135" t="s">
        <v>226</v>
      </c>
    </row>
    <row r="136" hidden="1" spans="1:44">
      <c r="A136" t="s">
        <v>105</v>
      </c>
      <c r="B136" t="s">
        <v>18</v>
      </c>
      <c r="C136" s="209" t="s">
        <v>19</v>
      </c>
      <c r="D136" s="210">
        <v>71020121051437</v>
      </c>
      <c r="E136" s="211">
        <v>44347</v>
      </c>
      <c r="F136" t="s">
        <v>218</v>
      </c>
      <c r="G136" t="s">
        <v>219</v>
      </c>
      <c r="H136">
        <v>4</v>
      </c>
      <c r="I136" t="s">
        <v>165</v>
      </c>
      <c r="J136" t="s">
        <v>246</v>
      </c>
      <c r="K136" t="s">
        <v>221</v>
      </c>
      <c r="L136">
        <v>6000</v>
      </c>
      <c r="M136" s="211">
        <v>44425</v>
      </c>
      <c r="N136" s="211">
        <v>44425</v>
      </c>
      <c r="O136" s="212" t="s">
        <v>227</v>
      </c>
      <c r="P136" t="s">
        <v>222</v>
      </c>
      <c r="S136">
        <v>0</v>
      </c>
      <c r="T136">
        <v>0</v>
      </c>
      <c r="U136">
        <v>0</v>
      </c>
      <c r="V136">
        <v>0</v>
      </c>
      <c r="W136">
        <v>0</v>
      </c>
      <c r="X136" s="140">
        <v>6000</v>
      </c>
      <c r="Y136" s="209">
        <f t="shared" si="2"/>
        <v>6000</v>
      </c>
      <c r="Z136">
        <v>0</v>
      </c>
      <c r="AE136"/>
      <c r="AF136"/>
      <c r="AG136" t="s">
        <v>223</v>
      </c>
      <c r="AN136" t="s">
        <v>218</v>
      </c>
      <c r="AO136" t="s">
        <v>224</v>
      </c>
      <c r="AP136" t="s">
        <v>225</v>
      </c>
      <c r="AQ136">
        <v>0.13</v>
      </c>
      <c r="AR136" t="s">
        <v>226</v>
      </c>
    </row>
    <row r="137" hidden="1" spans="1:44">
      <c r="A137" t="s">
        <v>105</v>
      </c>
      <c r="B137" t="s">
        <v>18</v>
      </c>
      <c r="C137" s="209" t="s">
        <v>19</v>
      </c>
      <c r="D137" s="210">
        <v>71020121051437</v>
      </c>
      <c r="E137" s="211">
        <v>44347</v>
      </c>
      <c r="F137" t="s">
        <v>218</v>
      </c>
      <c r="G137" t="s">
        <v>219</v>
      </c>
      <c r="H137">
        <v>5</v>
      </c>
      <c r="I137" t="s">
        <v>165</v>
      </c>
      <c r="J137" t="s">
        <v>246</v>
      </c>
      <c r="K137" t="s">
        <v>221</v>
      </c>
      <c r="L137">
        <v>6000</v>
      </c>
      <c r="M137" s="211">
        <v>44424</v>
      </c>
      <c r="N137" s="211">
        <v>44424</v>
      </c>
      <c r="O137" s="212" t="s">
        <v>227</v>
      </c>
      <c r="P137" t="s">
        <v>222</v>
      </c>
      <c r="S137">
        <v>0</v>
      </c>
      <c r="T137">
        <v>0</v>
      </c>
      <c r="U137">
        <v>0</v>
      </c>
      <c r="V137">
        <v>0</v>
      </c>
      <c r="W137">
        <v>0</v>
      </c>
      <c r="X137" s="140">
        <v>6000</v>
      </c>
      <c r="Y137" s="209">
        <f t="shared" si="2"/>
        <v>6000</v>
      </c>
      <c r="Z137">
        <v>0</v>
      </c>
      <c r="AE137"/>
      <c r="AF137"/>
      <c r="AG137" t="s">
        <v>223</v>
      </c>
      <c r="AN137" t="s">
        <v>218</v>
      </c>
      <c r="AO137" t="s">
        <v>224</v>
      </c>
      <c r="AP137" t="s">
        <v>225</v>
      </c>
      <c r="AQ137">
        <v>0.13</v>
      </c>
      <c r="AR137" t="s">
        <v>226</v>
      </c>
    </row>
    <row r="138" hidden="1" spans="1:44">
      <c r="A138" t="s">
        <v>105</v>
      </c>
      <c r="B138" t="s">
        <v>18</v>
      </c>
      <c r="C138" s="209" t="s">
        <v>19</v>
      </c>
      <c r="D138" s="210">
        <v>71020121051437</v>
      </c>
      <c r="E138" s="211">
        <v>44347</v>
      </c>
      <c r="F138" t="s">
        <v>218</v>
      </c>
      <c r="G138" t="s">
        <v>219</v>
      </c>
      <c r="H138">
        <v>6</v>
      </c>
      <c r="I138" t="s">
        <v>165</v>
      </c>
      <c r="J138" t="s">
        <v>246</v>
      </c>
      <c r="K138" t="s">
        <v>221</v>
      </c>
      <c r="L138">
        <v>5000</v>
      </c>
      <c r="M138" s="211">
        <v>44414</v>
      </c>
      <c r="N138" s="211">
        <v>44414</v>
      </c>
      <c r="O138" s="212" t="s">
        <v>227</v>
      </c>
      <c r="P138" t="s">
        <v>222</v>
      </c>
      <c r="S138">
        <v>0</v>
      </c>
      <c r="T138">
        <v>0</v>
      </c>
      <c r="U138">
        <v>0</v>
      </c>
      <c r="V138">
        <v>0</v>
      </c>
      <c r="W138">
        <v>0</v>
      </c>
      <c r="X138" s="140">
        <v>5000</v>
      </c>
      <c r="Y138" s="209">
        <f t="shared" si="2"/>
        <v>5000</v>
      </c>
      <c r="Z138">
        <v>0</v>
      </c>
      <c r="AE138"/>
      <c r="AF138"/>
      <c r="AG138" t="s">
        <v>223</v>
      </c>
      <c r="AN138" t="s">
        <v>218</v>
      </c>
      <c r="AO138" t="s">
        <v>224</v>
      </c>
      <c r="AP138" t="s">
        <v>225</v>
      </c>
      <c r="AQ138">
        <v>0.13</v>
      </c>
      <c r="AR138" t="s">
        <v>226</v>
      </c>
    </row>
    <row r="139" hidden="1" spans="1:44">
      <c r="A139" t="s">
        <v>105</v>
      </c>
      <c r="B139" t="s">
        <v>18</v>
      </c>
      <c r="C139" s="209" t="s">
        <v>19</v>
      </c>
      <c r="D139" s="210">
        <v>71020121051437</v>
      </c>
      <c r="E139" s="211">
        <v>44347</v>
      </c>
      <c r="F139" t="s">
        <v>218</v>
      </c>
      <c r="G139" t="s">
        <v>219</v>
      </c>
      <c r="H139">
        <v>7</v>
      </c>
      <c r="I139" t="s">
        <v>165</v>
      </c>
      <c r="J139" t="s">
        <v>246</v>
      </c>
      <c r="K139" t="s">
        <v>221</v>
      </c>
      <c r="L139">
        <v>6000</v>
      </c>
      <c r="M139" s="211">
        <v>44413</v>
      </c>
      <c r="N139" s="211">
        <v>44413</v>
      </c>
      <c r="O139" s="212" t="s">
        <v>227</v>
      </c>
      <c r="P139" t="s">
        <v>222</v>
      </c>
      <c r="S139">
        <v>0</v>
      </c>
      <c r="T139">
        <v>0</v>
      </c>
      <c r="U139">
        <v>0</v>
      </c>
      <c r="V139">
        <v>0</v>
      </c>
      <c r="W139">
        <v>0</v>
      </c>
      <c r="X139" s="140">
        <v>6000</v>
      </c>
      <c r="Y139" s="209">
        <f t="shared" si="2"/>
        <v>6000</v>
      </c>
      <c r="Z139">
        <v>0</v>
      </c>
      <c r="AE139"/>
      <c r="AF139"/>
      <c r="AG139" t="s">
        <v>223</v>
      </c>
      <c r="AN139" t="s">
        <v>218</v>
      </c>
      <c r="AO139" t="s">
        <v>224</v>
      </c>
      <c r="AP139" t="s">
        <v>225</v>
      </c>
      <c r="AQ139">
        <v>0.13</v>
      </c>
      <c r="AR139" t="s">
        <v>226</v>
      </c>
    </row>
    <row r="140" hidden="1" spans="1:44">
      <c r="A140" t="s">
        <v>105</v>
      </c>
      <c r="B140" t="s">
        <v>18</v>
      </c>
      <c r="C140" s="209" t="s">
        <v>19</v>
      </c>
      <c r="D140" s="210">
        <v>71020121051437</v>
      </c>
      <c r="E140" s="211">
        <v>44347</v>
      </c>
      <c r="F140" t="s">
        <v>218</v>
      </c>
      <c r="G140" t="s">
        <v>219</v>
      </c>
      <c r="H140">
        <v>8</v>
      </c>
      <c r="I140" t="s">
        <v>165</v>
      </c>
      <c r="J140" t="s">
        <v>246</v>
      </c>
      <c r="K140" t="s">
        <v>221</v>
      </c>
      <c r="L140">
        <v>6000</v>
      </c>
      <c r="M140" s="211">
        <v>44412</v>
      </c>
      <c r="N140" s="211">
        <v>44412</v>
      </c>
      <c r="O140" s="212" t="s">
        <v>227</v>
      </c>
      <c r="P140" t="s">
        <v>222</v>
      </c>
      <c r="S140">
        <v>0</v>
      </c>
      <c r="T140">
        <v>0</v>
      </c>
      <c r="U140">
        <v>0</v>
      </c>
      <c r="V140">
        <v>0</v>
      </c>
      <c r="W140">
        <v>0</v>
      </c>
      <c r="X140" s="140">
        <v>6000</v>
      </c>
      <c r="Y140" s="209">
        <f t="shared" si="2"/>
        <v>6000</v>
      </c>
      <c r="Z140">
        <v>0</v>
      </c>
      <c r="AE140"/>
      <c r="AF140"/>
      <c r="AG140" t="s">
        <v>223</v>
      </c>
      <c r="AN140" t="s">
        <v>218</v>
      </c>
      <c r="AO140" t="s">
        <v>224</v>
      </c>
      <c r="AP140" t="s">
        <v>225</v>
      </c>
      <c r="AQ140">
        <v>0.13</v>
      </c>
      <c r="AR140" t="s">
        <v>226</v>
      </c>
    </row>
    <row r="141" hidden="1" spans="1:44">
      <c r="A141" t="s">
        <v>105</v>
      </c>
      <c r="B141" t="s">
        <v>18</v>
      </c>
      <c r="C141" s="209" t="s">
        <v>19</v>
      </c>
      <c r="D141" s="210">
        <v>71020121051437</v>
      </c>
      <c r="E141" s="211">
        <v>44347</v>
      </c>
      <c r="F141" t="s">
        <v>218</v>
      </c>
      <c r="G141" t="s">
        <v>219</v>
      </c>
      <c r="H141">
        <v>10</v>
      </c>
      <c r="I141" t="s">
        <v>247</v>
      </c>
      <c r="J141" t="s">
        <v>248</v>
      </c>
      <c r="K141" t="s">
        <v>221</v>
      </c>
      <c r="L141">
        <v>10000</v>
      </c>
      <c r="M141" s="211">
        <v>44413</v>
      </c>
      <c r="N141" s="211">
        <v>44413</v>
      </c>
      <c r="O141" s="212" t="s">
        <v>227</v>
      </c>
      <c r="P141" t="s">
        <v>222</v>
      </c>
      <c r="S141">
        <v>0</v>
      </c>
      <c r="T141">
        <v>0</v>
      </c>
      <c r="U141">
        <v>0</v>
      </c>
      <c r="V141">
        <v>0</v>
      </c>
      <c r="W141">
        <v>0</v>
      </c>
      <c r="X141" s="140">
        <v>10000</v>
      </c>
      <c r="Y141" s="209">
        <f t="shared" si="2"/>
        <v>10000</v>
      </c>
      <c r="Z141">
        <v>0</v>
      </c>
      <c r="AE141"/>
      <c r="AF141"/>
      <c r="AG141" t="s">
        <v>223</v>
      </c>
      <c r="AN141" t="s">
        <v>218</v>
      </c>
      <c r="AO141" t="s">
        <v>224</v>
      </c>
      <c r="AP141" t="s">
        <v>225</v>
      </c>
      <c r="AQ141">
        <v>0.13</v>
      </c>
      <c r="AR141" t="s">
        <v>226</v>
      </c>
    </row>
    <row r="142" hidden="1" spans="1:44">
      <c r="A142" t="s">
        <v>105</v>
      </c>
      <c r="B142" t="s">
        <v>18</v>
      </c>
      <c r="C142" s="209" t="s">
        <v>19</v>
      </c>
      <c r="D142" s="210">
        <v>71020121051437</v>
      </c>
      <c r="E142" s="211">
        <v>44347</v>
      </c>
      <c r="F142" t="s">
        <v>218</v>
      </c>
      <c r="G142" t="s">
        <v>219</v>
      </c>
      <c r="H142">
        <v>11</v>
      </c>
      <c r="I142" t="s">
        <v>247</v>
      </c>
      <c r="J142" t="s">
        <v>248</v>
      </c>
      <c r="K142" t="s">
        <v>221</v>
      </c>
      <c r="L142">
        <v>10000</v>
      </c>
      <c r="M142" s="211">
        <v>44412</v>
      </c>
      <c r="N142" s="211">
        <v>44412</v>
      </c>
      <c r="O142" s="212" t="s">
        <v>227</v>
      </c>
      <c r="P142" t="s">
        <v>222</v>
      </c>
      <c r="S142">
        <v>0</v>
      </c>
      <c r="T142">
        <v>0</v>
      </c>
      <c r="U142">
        <v>0</v>
      </c>
      <c r="V142">
        <v>0</v>
      </c>
      <c r="W142">
        <v>0</v>
      </c>
      <c r="X142" s="140">
        <v>10000</v>
      </c>
      <c r="Y142" s="209">
        <f t="shared" si="2"/>
        <v>10000</v>
      </c>
      <c r="Z142">
        <v>0</v>
      </c>
      <c r="AE142"/>
      <c r="AF142"/>
      <c r="AG142" t="s">
        <v>223</v>
      </c>
      <c r="AN142" t="s">
        <v>218</v>
      </c>
      <c r="AO142" t="s">
        <v>224</v>
      </c>
      <c r="AP142" t="s">
        <v>225</v>
      </c>
      <c r="AQ142">
        <v>0.13</v>
      </c>
      <c r="AR142" t="s">
        <v>226</v>
      </c>
    </row>
    <row r="143" hidden="1" spans="1:44">
      <c r="A143" t="s">
        <v>105</v>
      </c>
      <c r="B143" t="s">
        <v>18</v>
      </c>
      <c r="C143" s="209" t="s">
        <v>19</v>
      </c>
      <c r="D143" s="210">
        <v>71020121051437</v>
      </c>
      <c r="E143" s="211">
        <v>44347</v>
      </c>
      <c r="F143" t="s">
        <v>218</v>
      </c>
      <c r="G143" t="s">
        <v>219</v>
      </c>
      <c r="H143">
        <v>12</v>
      </c>
      <c r="I143" t="s">
        <v>247</v>
      </c>
      <c r="J143" t="s">
        <v>248</v>
      </c>
      <c r="K143" t="s">
        <v>221</v>
      </c>
      <c r="L143">
        <v>10000</v>
      </c>
      <c r="M143" s="211">
        <v>44411</v>
      </c>
      <c r="N143" s="211">
        <v>44412</v>
      </c>
      <c r="O143" s="212" t="s">
        <v>227</v>
      </c>
      <c r="P143" t="s">
        <v>222</v>
      </c>
      <c r="S143">
        <v>2019</v>
      </c>
      <c r="T143">
        <v>2019</v>
      </c>
      <c r="U143">
        <v>0</v>
      </c>
      <c r="V143">
        <v>2019</v>
      </c>
      <c r="W143">
        <v>0</v>
      </c>
      <c r="X143" s="140">
        <v>7981</v>
      </c>
      <c r="Y143" s="209">
        <f t="shared" si="2"/>
        <v>7981</v>
      </c>
      <c r="Z143">
        <v>0</v>
      </c>
      <c r="AE143">
        <v>44358</v>
      </c>
      <c r="AF143">
        <v>44358</v>
      </c>
      <c r="AG143" t="s">
        <v>223</v>
      </c>
      <c r="AN143" t="s">
        <v>218</v>
      </c>
      <c r="AO143" t="s">
        <v>224</v>
      </c>
      <c r="AP143" t="s">
        <v>225</v>
      </c>
      <c r="AQ143">
        <v>0.13</v>
      </c>
      <c r="AR143" t="s">
        <v>226</v>
      </c>
    </row>
    <row r="144" hidden="1" spans="1:44">
      <c r="A144" t="s">
        <v>105</v>
      </c>
      <c r="B144" t="s">
        <v>18</v>
      </c>
      <c r="C144" s="209" t="s">
        <v>19</v>
      </c>
      <c r="D144" s="210">
        <v>71020121051437</v>
      </c>
      <c r="E144" s="211">
        <v>44347</v>
      </c>
      <c r="F144" t="s">
        <v>218</v>
      </c>
      <c r="G144" t="s">
        <v>219</v>
      </c>
      <c r="H144">
        <v>13</v>
      </c>
      <c r="I144" t="s">
        <v>165</v>
      </c>
      <c r="J144" t="s">
        <v>246</v>
      </c>
      <c r="K144" t="s">
        <v>221</v>
      </c>
      <c r="L144">
        <v>6000</v>
      </c>
      <c r="M144" s="211">
        <v>44411</v>
      </c>
      <c r="N144" s="211">
        <v>44411</v>
      </c>
      <c r="O144" s="212" t="s">
        <v>227</v>
      </c>
      <c r="P144" t="s">
        <v>222</v>
      </c>
      <c r="S144">
        <v>0</v>
      </c>
      <c r="T144">
        <v>0</v>
      </c>
      <c r="U144">
        <v>0</v>
      </c>
      <c r="V144">
        <v>0</v>
      </c>
      <c r="W144">
        <v>0</v>
      </c>
      <c r="X144" s="140">
        <v>6000</v>
      </c>
      <c r="Y144" s="209">
        <f t="shared" si="2"/>
        <v>6000</v>
      </c>
      <c r="Z144">
        <v>0</v>
      </c>
      <c r="AE144"/>
      <c r="AF144"/>
      <c r="AG144" t="s">
        <v>223</v>
      </c>
      <c r="AN144" t="s">
        <v>218</v>
      </c>
      <c r="AO144" t="s">
        <v>224</v>
      </c>
      <c r="AP144" t="s">
        <v>225</v>
      </c>
      <c r="AQ144">
        <v>0.13</v>
      </c>
      <c r="AR144" t="s">
        <v>226</v>
      </c>
    </row>
    <row r="145" hidden="1" spans="1:44">
      <c r="A145" t="s">
        <v>105</v>
      </c>
      <c r="B145" t="s">
        <v>18</v>
      </c>
      <c r="C145" s="209" t="s">
        <v>19</v>
      </c>
      <c r="D145" s="210">
        <v>71020121051437</v>
      </c>
      <c r="E145" s="211">
        <v>44347</v>
      </c>
      <c r="F145" t="s">
        <v>218</v>
      </c>
      <c r="G145" t="s">
        <v>219</v>
      </c>
      <c r="H145">
        <v>14</v>
      </c>
      <c r="I145" t="s">
        <v>169</v>
      </c>
      <c r="J145" t="s">
        <v>244</v>
      </c>
      <c r="K145" t="s">
        <v>221</v>
      </c>
      <c r="L145">
        <v>3500</v>
      </c>
      <c r="M145" s="211">
        <v>44393</v>
      </c>
      <c r="N145" s="211">
        <v>44393</v>
      </c>
      <c r="O145" s="212" t="s">
        <v>60</v>
      </c>
      <c r="P145" t="s">
        <v>222</v>
      </c>
      <c r="S145">
        <v>0</v>
      </c>
      <c r="T145">
        <v>0</v>
      </c>
      <c r="U145">
        <v>0</v>
      </c>
      <c r="V145">
        <v>0</v>
      </c>
      <c r="W145">
        <v>0</v>
      </c>
      <c r="X145" s="140">
        <v>3500</v>
      </c>
      <c r="Y145" s="209">
        <f t="shared" si="2"/>
        <v>3500</v>
      </c>
      <c r="Z145">
        <v>0</v>
      </c>
      <c r="AE145"/>
      <c r="AF145"/>
      <c r="AG145" t="s">
        <v>223</v>
      </c>
      <c r="AN145" t="s">
        <v>218</v>
      </c>
      <c r="AO145" t="s">
        <v>224</v>
      </c>
      <c r="AP145" t="s">
        <v>225</v>
      </c>
      <c r="AQ145">
        <v>0.13</v>
      </c>
      <c r="AR145" t="s">
        <v>226</v>
      </c>
    </row>
    <row r="146" hidden="1" spans="1:44">
      <c r="A146" t="s">
        <v>105</v>
      </c>
      <c r="B146" t="s">
        <v>18</v>
      </c>
      <c r="C146" s="209" t="s">
        <v>19</v>
      </c>
      <c r="D146" s="210">
        <v>71020121051437</v>
      </c>
      <c r="E146" s="211">
        <v>44347</v>
      </c>
      <c r="F146" t="s">
        <v>218</v>
      </c>
      <c r="G146" t="s">
        <v>219</v>
      </c>
      <c r="H146">
        <v>15</v>
      </c>
      <c r="I146" t="s">
        <v>169</v>
      </c>
      <c r="J146" t="s">
        <v>244</v>
      </c>
      <c r="K146" t="s">
        <v>221</v>
      </c>
      <c r="L146">
        <v>4000</v>
      </c>
      <c r="M146" s="211">
        <v>44384</v>
      </c>
      <c r="N146" s="211">
        <v>44384</v>
      </c>
      <c r="O146" s="212" t="s">
        <v>60</v>
      </c>
      <c r="P146" t="s">
        <v>222</v>
      </c>
      <c r="S146">
        <v>0</v>
      </c>
      <c r="T146">
        <v>0</v>
      </c>
      <c r="U146">
        <v>0</v>
      </c>
      <c r="V146">
        <v>0</v>
      </c>
      <c r="W146">
        <v>0</v>
      </c>
      <c r="X146" s="140">
        <v>4000</v>
      </c>
      <c r="Y146" s="209">
        <f t="shared" si="2"/>
        <v>4000</v>
      </c>
      <c r="Z146">
        <v>0</v>
      </c>
      <c r="AE146"/>
      <c r="AF146"/>
      <c r="AG146" t="s">
        <v>223</v>
      </c>
      <c r="AN146" t="s">
        <v>218</v>
      </c>
      <c r="AO146" t="s">
        <v>224</v>
      </c>
      <c r="AP146" t="s">
        <v>225</v>
      </c>
      <c r="AQ146">
        <v>0.13</v>
      </c>
      <c r="AR146" t="s">
        <v>226</v>
      </c>
    </row>
    <row r="147" hidden="1" spans="1:44">
      <c r="A147" t="s">
        <v>105</v>
      </c>
      <c r="B147" t="s">
        <v>18</v>
      </c>
      <c r="C147" s="209" t="s">
        <v>19</v>
      </c>
      <c r="D147" s="210">
        <v>71020121051437</v>
      </c>
      <c r="E147" s="211">
        <v>44347</v>
      </c>
      <c r="F147" t="s">
        <v>218</v>
      </c>
      <c r="G147" t="s">
        <v>219</v>
      </c>
      <c r="H147">
        <v>16</v>
      </c>
      <c r="I147" t="s">
        <v>172</v>
      </c>
      <c r="J147" t="s">
        <v>220</v>
      </c>
      <c r="K147" t="s">
        <v>221</v>
      </c>
      <c r="L147">
        <v>3300</v>
      </c>
      <c r="M147" s="211">
        <v>44382</v>
      </c>
      <c r="N147" s="211">
        <v>44382</v>
      </c>
      <c r="O147" s="212" t="s">
        <v>60</v>
      </c>
      <c r="P147" t="s">
        <v>222</v>
      </c>
      <c r="S147">
        <v>1352</v>
      </c>
      <c r="T147">
        <v>1352</v>
      </c>
      <c r="U147">
        <v>0</v>
      </c>
      <c r="V147">
        <v>1352</v>
      </c>
      <c r="W147">
        <v>0</v>
      </c>
      <c r="X147" s="140">
        <v>1948</v>
      </c>
      <c r="Y147" s="209">
        <f t="shared" si="2"/>
        <v>1948</v>
      </c>
      <c r="Z147">
        <v>0</v>
      </c>
      <c r="AE147">
        <v>44379</v>
      </c>
      <c r="AF147">
        <v>44380</v>
      </c>
      <c r="AG147" t="s">
        <v>223</v>
      </c>
      <c r="AN147" t="s">
        <v>218</v>
      </c>
      <c r="AO147" t="s">
        <v>224</v>
      </c>
      <c r="AP147" t="s">
        <v>225</v>
      </c>
      <c r="AQ147">
        <v>0.13</v>
      </c>
      <c r="AR147" t="s">
        <v>226</v>
      </c>
    </row>
    <row r="148" hidden="1" spans="1:44">
      <c r="A148" t="s">
        <v>105</v>
      </c>
      <c r="B148" t="s">
        <v>18</v>
      </c>
      <c r="C148" s="209" t="s">
        <v>19</v>
      </c>
      <c r="D148" s="210">
        <v>71020121051437</v>
      </c>
      <c r="E148" s="211">
        <v>44347</v>
      </c>
      <c r="F148" t="s">
        <v>218</v>
      </c>
      <c r="G148" t="s">
        <v>219</v>
      </c>
      <c r="H148">
        <v>17</v>
      </c>
      <c r="I148" t="s">
        <v>165</v>
      </c>
      <c r="J148" t="s">
        <v>246</v>
      </c>
      <c r="K148" t="s">
        <v>221</v>
      </c>
      <c r="L148">
        <v>2000</v>
      </c>
      <c r="M148" s="211">
        <v>44393</v>
      </c>
      <c r="N148" s="211">
        <v>44393</v>
      </c>
      <c r="O148" s="212" t="s">
        <v>60</v>
      </c>
      <c r="P148" t="s">
        <v>222</v>
      </c>
      <c r="S148">
        <v>0</v>
      </c>
      <c r="T148">
        <v>0</v>
      </c>
      <c r="U148">
        <v>0</v>
      </c>
      <c r="V148">
        <v>0</v>
      </c>
      <c r="W148">
        <v>0</v>
      </c>
      <c r="X148" s="140">
        <v>2000</v>
      </c>
      <c r="Y148" s="209">
        <f t="shared" si="2"/>
        <v>2000</v>
      </c>
      <c r="Z148">
        <v>0</v>
      </c>
      <c r="AE148"/>
      <c r="AF148"/>
      <c r="AG148" t="s">
        <v>223</v>
      </c>
      <c r="AN148" t="s">
        <v>218</v>
      </c>
      <c r="AO148" t="s">
        <v>224</v>
      </c>
      <c r="AP148" t="s">
        <v>225</v>
      </c>
      <c r="AQ148">
        <v>0.13</v>
      </c>
      <c r="AR148" t="s">
        <v>226</v>
      </c>
    </row>
    <row r="149" hidden="1" spans="1:44">
      <c r="A149" t="s">
        <v>105</v>
      </c>
      <c r="B149" t="s">
        <v>18</v>
      </c>
      <c r="C149" s="209" t="s">
        <v>19</v>
      </c>
      <c r="D149" s="210">
        <v>71020121051437</v>
      </c>
      <c r="E149" s="211">
        <v>44347</v>
      </c>
      <c r="F149" t="s">
        <v>218</v>
      </c>
      <c r="G149" t="s">
        <v>219</v>
      </c>
      <c r="H149">
        <v>18</v>
      </c>
      <c r="I149" t="s">
        <v>165</v>
      </c>
      <c r="J149" t="s">
        <v>246</v>
      </c>
      <c r="K149" t="s">
        <v>221</v>
      </c>
      <c r="L149">
        <v>5000</v>
      </c>
      <c r="M149" s="211">
        <v>44392</v>
      </c>
      <c r="N149" s="211">
        <v>44392</v>
      </c>
      <c r="O149" s="212" t="s">
        <v>60</v>
      </c>
      <c r="P149" t="s">
        <v>222</v>
      </c>
      <c r="S149">
        <v>0</v>
      </c>
      <c r="T149">
        <v>0</v>
      </c>
      <c r="U149">
        <v>0</v>
      </c>
      <c r="V149">
        <v>0</v>
      </c>
      <c r="W149">
        <v>0</v>
      </c>
      <c r="X149" s="140">
        <v>5000</v>
      </c>
      <c r="Y149" s="209">
        <f t="shared" si="2"/>
        <v>5000</v>
      </c>
      <c r="Z149">
        <v>0</v>
      </c>
      <c r="AE149"/>
      <c r="AF149"/>
      <c r="AG149" t="s">
        <v>223</v>
      </c>
      <c r="AN149" t="s">
        <v>218</v>
      </c>
      <c r="AO149" t="s">
        <v>224</v>
      </c>
      <c r="AP149" t="s">
        <v>225</v>
      </c>
      <c r="AQ149">
        <v>0.13</v>
      </c>
      <c r="AR149" t="s">
        <v>226</v>
      </c>
    </row>
    <row r="150" hidden="1" spans="1:44">
      <c r="A150" t="s">
        <v>105</v>
      </c>
      <c r="B150" t="s">
        <v>18</v>
      </c>
      <c r="C150" s="209" t="s">
        <v>19</v>
      </c>
      <c r="D150" s="210">
        <v>71020121051437</v>
      </c>
      <c r="E150" s="211">
        <v>44347</v>
      </c>
      <c r="F150" t="s">
        <v>218</v>
      </c>
      <c r="G150" t="s">
        <v>219</v>
      </c>
      <c r="H150">
        <v>19</v>
      </c>
      <c r="I150" t="s">
        <v>165</v>
      </c>
      <c r="J150" t="s">
        <v>246</v>
      </c>
      <c r="K150" t="s">
        <v>221</v>
      </c>
      <c r="L150">
        <v>5000</v>
      </c>
      <c r="M150" s="211">
        <v>44391</v>
      </c>
      <c r="N150" s="211">
        <v>44391</v>
      </c>
      <c r="O150" s="212" t="s">
        <v>60</v>
      </c>
      <c r="P150" t="s">
        <v>222</v>
      </c>
      <c r="S150">
        <v>0</v>
      </c>
      <c r="T150">
        <v>0</v>
      </c>
      <c r="U150">
        <v>0</v>
      </c>
      <c r="V150">
        <v>0</v>
      </c>
      <c r="W150">
        <v>0</v>
      </c>
      <c r="X150" s="140">
        <v>5000</v>
      </c>
      <c r="Y150" s="209">
        <f t="shared" si="2"/>
        <v>5000</v>
      </c>
      <c r="Z150">
        <v>0</v>
      </c>
      <c r="AE150"/>
      <c r="AF150"/>
      <c r="AG150" t="s">
        <v>223</v>
      </c>
      <c r="AN150" t="s">
        <v>218</v>
      </c>
      <c r="AO150" t="s">
        <v>224</v>
      </c>
      <c r="AP150" t="s">
        <v>225</v>
      </c>
      <c r="AQ150">
        <v>0.13</v>
      </c>
      <c r="AR150" t="s">
        <v>226</v>
      </c>
    </row>
    <row r="151" hidden="1" spans="1:44">
      <c r="A151" t="s">
        <v>105</v>
      </c>
      <c r="B151" t="s">
        <v>18</v>
      </c>
      <c r="C151" s="209" t="s">
        <v>19</v>
      </c>
      <c r="D151" s="210">
        <v>71020121051437</v>
      </c>
      <c r="E151" s="211">
        <v>44347</v>
      </c>
      <c r="F151" t="s">
        <v>218</v>
      </c>
      <c r="G151" t="s">
        <v>219</v>
      </c>
      <c r="H151">
        <v>20</v>
      </c>
      <c r="I151" t="s">
        <v>165</v>
      </c>
      <c r="J151" t="s">
        <v>246</v>
      </c>
      <c r="K151" t="s">
        <v>221</v>
      </c>
      <c r="L151">
        <v>5000</v>
      </c>
      <c r="M151" s="211">
        <v>44390</v>
      </c>
      <c r="N151" s="211">
        <v>44390</v>
      </c>
      <c r="O151" s="212" t="s">
        <v>60</v>
      </c>
      <c r="P151" t="s">
        <v>222</v>
      </c>
      <c r="S151">
        <v>0</v>
      </c>
      <c r="T151">
        <v>0</v>
      </c>
      <c r="U151">
        <v>0</v>
      </c>
      <c r="V151">
        <v>0</v>
      </c>
      <c r="W151">
        <v>0</v>
      </c>
      <c r="X151" s="140">
        <v>5000</v>
      </c>
      <c r="Y151" s="209">
        <f t="shared" si="2"/>
        <v>5000</v>
      </c>
      <c r="Z151">
        <v>0</v>
      </c>
      <c r="AE151"/>
      <c r="AF151"/>
      <c r="AG151" t="s">
        <v>223</v>
      </c>
      <c r="AN151" t="s">
        <v>218</v>
      </c>
      <c r="AO151" t="s">
        <v>224</v>
      </c>
      <c r="AP151" t="s">
        <v>225</v>
      </c>
      <c r="AQ151">
        <v>0.13</v>
      </c>
      <c r="AR151" t="s">
        <v>226</v>
      </c>
    </row>
    <row r="152" hidden="1" spans="1:44">
      <c r="A152" t="s">
        <v>105</v>
      </c>
      <c r="B152" t="s">
        <v>18</v>
      </c>
      <c r="C152" s="209" t="s">
        <v>19</v>
      </c>
      <c r="D152" s="210">
        <v>71020121051437</v>
      </c>
      <c r="E152" s="211">
        <v>44347</v>
      </c>
      <c r="F152" t="s">
        <v>218</v>
      </c>
      <c r="G152" t="s">
        <v>219</v>
      </c>
      <c r="H152">
        <v>21</v>
      </c>
      <c r="I152" t="s">
        <v>165</v>
      </c>
      <c r="J152" t="s">
        <v>246</v>
      </c>
      <c r="K152" t="s">
        <v>221</v>
      </c>
      <c r="L152">
        <v>5000</v>
      </c>
      <c r="M152" s="211">
        <v>44389</v>
      </c>
      <c r="N152" s="211">
        <v>44389</v>
      </c>
      <c r="O152" s="212" t="s">
        <v>60</v>
      </c>
      <c r="P152" t="s">
        <v>222</v>
      </c>
      <c r="S152">
        <v>0</v>
      </c>
      <c r="T152">
        <v>0</v>
      </c>
      <c r="U152">
        <v>0</v>
      </c>
      <c r="V152">
        <v>0</v>
      </c>
      <c r="W152">
        <v>0</v>
      </c>
      <c r="X152" s="140">
        <v>5000</v>
      </c>
      <c r="Y152" s="209">
        <f t="shared" si="2"/>
        <v>5000</v>
      </c>
      <c r="Z152">
        <v>0</v>
      </c>
      <c r="AE152"/>
      <c r="AF152"/>
      <c r="AG152" t="s">
        <v>223</v>
      </c>
      <c r="AN152" t="s">
        <v>218</v>
      </c>
      <c r="AO152" t="s">
        <v>224</v>
      </c>
      <c r="AP152" t="s">
        <v>225</v>
      </c>
      <c r="AQ152">
        <v>0.13</v>
      </c>
      <c r="AR152" t="s">
        <v>226</v>
      </c>
    </row>
    <row r="153" hidden="1" spans="1:44">
      <c r="A153" t="s">
        <v>105</v>
      </c>
      <c r="B153" t="s">
        <v>18</v>
      </c>
      <c r="C153" s="209" t="s">
        <v>19</v>
      </c>
      <c r="D153" s="210">
        <v>71020121051437</v>
      </c>
      <c r="E153" s="211">
        <v>44347</v>
      </c>
      <c r="F153" t="s">
        <v>218</v>
      </c>
      <c r="G153" t="s">
        <v>219</v>
      </c>
      <c r="H153">
        <v>22</v>
      </c>
      <c r="I153" t="s">
        <v>165</v>
      </c>
      <c r="J153" t="s">
        <v>246</v>
      </c>
      <c r="K153" t="s">
        <v>221</v>
      </c>
      <c r="L153">
        <v>5000</v>
      </c>
      <c r="M153" s="211">
        <v>44380</v>
      </c>
      <c r="N153" s="211">
        <v>44380</v>
      </c>
      <c r="O153" s="212" t="s">
        <v>60</v>
      </c>
      <c r="P153" t="s">
        <v>222</v>
      </c>
      <c r="S153">
        <v>0</v>
      </c>
      <c r="T153">
        <v>0</v>
      </c>
      <c r="U153">
        <v>0</v>
      </c>
      <c r="V153">
        <v>0</v>
      </c>
      <c r="W153">
        <v>0</v>
      </c>
      <c r="X153" s="140">
        <v>5000</v>
      </c>
      <c r="Y153" s="209">
        <f t="shared" si="2"/>
        <v>5000</v>
      </c>
      <c r="Z153">
        <v>0</v>
      </c>
      <c r="AE153"/>
      <c r="AF153"/>
      <c r="AG153" t="s">
        <v>223</v>
      </c>
      <c r="AN153" t="s">
        <v>218</v>
      </c>
      <c r="AO153" t="s">
        <v>224</v>
      </c>
      <c r="AP153" t="s">
        <v>225</v>
      </c>
      <c r="AQ153">
        <v>0.13</v>
      </c>
      <c r="AR153" t="s">
        <v>226</v>
      </c>
    </row>
    <row r="154" hidden="1" spans="1:44">
      <c r="A154" t="s">
        <v>105</v>
      </c>
      <c r="B154" t="s">
        <v>18</v>
      </c>
      <c r="C154" s="209" t="s">
        <v>19</v>
      </c>
      <c r="D154" s="210">
        <v>71020121051437</v>
      </c>
      <c r="E154" s="211">
        <v>44347</v>
      </c>
      <c r="F154" t="s">
        <v>218</v>
      </c>
      <c r="G154" t="s">
        <v>219</v>
      </c>
      <c r="H154">
        <v>23</v>
      </c>
      <c r="I154" t="s">
        <v>165</v>
      </c>
      <c r="J154" t="s">
        <v>246</v>
      </c>
      <c r="K154" t="s">
        <v>221</v>
      </c>
      <c r="L154">
        <v>5000</v>
      </c>
      <c r="M154" s="211">
        <v>44379</v>
      </c>
      <c r="N154" s="211">
        <v>44379</v>
      </c>
      <c r="O154" s="212" t="s">
        <v>60</v>
      </c>
      <c r="P154" t="s">
        <v>222</v>
      </c>
      <c r="S154">
        <v>1442</v>
      </c>
      <c r="T154">
        <v>1442</v>
      </c>
      <c r="U154">
        <v>0</v>
      </c>
      <c r="V154">
        <v>1442</v>
      </c>
      <c r="W154">
        <v>0</v>
      </c>
      <c r="X154" s="140">
        <v>3558</v>
      </c>
      <c r="Y154" s="209">
        <f t="shared" si="2"/>
        <v>3558</v>
      </c>
      <c r="Z154">
        <v>0</v>
      </c>
      <c r="AE154">
        <v>44392</v>
      </c>
      <c r="AF154">
        <v>44392</v>
      </c>
      <c r="AG154" t="s">
        <v>223</v>
      </c>
      <c r="AN154" t="s">
        <v>218</v>
      </c>
      <c r="AO154" t="s">
        <v>224</v>
      </c>
      <c r="AP154" t="s">
        <v>225</v>
      </c>
      <c r="AQ154">
        <v>0.13</v>
      </c>
      <c r="AR154" t="s">
        <v>226</v>
      </c>
    </row>
    <row r="155" hidden="1" spans="1:44">
      <c r="A155" t="s">
        <v>105</v>
      </c>
      <c r="B155" t="s">
        <v>18</v>
      </c>
      <c r="C155" s="209" t="s">
        <v>19</v>
      </c>
      <c r="D155" s="210">
        <v>71020121051437</v>
      </c>
      <c r="E155" s="211">
        <v>44347</v>
      </c>
      <c r="F155" t="s">
        <v>218</v>
      </c>
      <c r="G155" t="s">
        <v>219</v>
      </c>
      <c r="H155">
        <v>25</v>
      </c>
      <c r="I155" t="s">
        <v>163</v>
      </c>
      <c r="J155" t="s">
        <v>243</v>
      </c>
      <c r="K155" t="s">
        <v>221</v>
      </c>
      <c r="L155">
        <v>5700</v>
      </c>
      <c r="M155" s="211">
        <v>44386</v>
      </c>
      <c r="N155" s="211">
        <v>44386</v>
      </c>
      <c r="O155" s="212" t="s">
        <v>60</v>
      </c>
      <c r="P155" t="s">
        <v>222</v>
      </c>
      <c r="S155">
        <v>0</v>
      </c>
      <c r="T155">
        <v>0</v>
      </c>
      <c r="U155">
        <v>0</v>
      </c>
      <c r="V155">
        <v>0</v>
      </c>
      <c r="W155">
        <v>0</v>
      </c>
      <c r="X155" s="140">
        <v>5700</v>
      </c>
      <c r="Y155" s="209">
        <f t="shared" si="2"/>
        <v>5700</v>
      </c>
      <c r="Z155">
        <v>0</v>
      </c>
      <c r="AE155"/>
      <c r="AF155"/>
      <c r="AG155" t="s">
        <v>223</v>
      </c>
      <c r="AN155" t="s">
        <v>218</v>
      </c>
      <c r="AO155" t="s">
        <v>224</v>
      </c>
      <c r="AP155" t="s">
        <v>225</v>
      </c>
      <c r="AQ155">
        <v>0.13</v>
      </c>
      <c r="AR155" t="s">
        <v>226</v>
      </c>
    </row>
    <row r="156" hidden="1" spans="1:44">
      <c r="A156" t="s">
        <v>105</v>
      </c>
      <c r="B156" t="s">
        <v>18</v>
      </c>
      <c r="C156" s="209" t="s">
        <v>19</v>
      </c>
      <c r="D156" s="210">
        <v>71020121051437</v>
      </c>
      <c r="E156" s="211">
        <v>44347</v>
      </c>
      <c r="F156" t="s">
        <v>218</v>
      </c>
      <c r="G156" t="s">
        <v>219</v>
      </c>
      <c r="H156">
        <v>28</v>
      </c>
      <c r="I156" t="s">
        <v>164</v>
      </c>
      <c r="J156" t="s">
        <v>220</v>
      </c>
      <c r="K156" t="s">
        <v>221</v>
      </c>
      <c r="L156">
        <v>2100</v>
      </c>
      <c r="M156" s="211">
        <v>44383</v>
      </c>
      <c r="N156" s="211">
        <v>44383</v>
      </c>
      <c r="O156" s="212" t="s">
        <v>60</v>
      </c>
      <c r="P156" t="s">
        <v>222</v>
      </c>
      <c r="S156">
        <v>0</v>
      </c>
      <c r="T156">
        <v>0</v>
      </c>
      <c r="U156">
        <v>0</v>
      </c>
      <c r="V156">
        <v>0</v>
      </c>
      <c r="W156">
        <v>0</v>
      </c>
      <c r="X156" s="140">
        <v>2100</v>
      </c>
      <c r="Y156" s="209">
        <f t="shared" si="2"/>
        <v>2100</v>
      </c>
      <c r="Z156">
        <v>0</v>
      </c>
      <c r="AE156"/>
      <c r="AF156"/>
      <c r="AG156" t="s">
        <v>223</v>
      </c>
      <c r="AN156" t="s">
        <v>218</v>
      </c>
      <c r="AO156" t="s">
        <v>224</v>
      </c>
      <c r="AP156" t="s">
        <v>225</v>
      </c>
      <c r="AQ156">
        <v>0.13</v>
      </c>
      <c r="AR156" t="s">
        <v>226</v>
      </c>
    </row>
    <row r="157" hidden="1" spans="1:44">
      <c r="A157" t="s">
        <v>105</v>
      </c>
      <c r="B157" t="s">
        <v>18</v>
      </c>
      <c r="C157" s="209" t="s">
        <v>19</v>
      </c>
      <c r="D157" s="210">
        <v>71020121051437</v>
      </c>
      <c r="E157" s="211">
        <v>44347</v>
      </c>
      <c r="F157" t="s">
        <v>218</v>
      </c>
      <c r="G157" t="s">
        <v>219</v>
      </c>
      <c r="H157">
        <v>30</v>
      </c>
      <c r="I157" t="s">
        <v>172</v>
      </c>
      <c r="J157" t="s">
        <v>220</v>
      </c>
      <c r="K157" t="s">
        <v>221</v>
      </c>
      <c r="L157">
        <v>2200</v>
      </c>
      <c r="M157" s="211">
        <v>44413</v>
      </c>
      <c r="N157" s="211">
        <v>44413</v>
      </c>
      <c r="O157" s="212" t="s">
        <v>227</v>
      </c>
      <c r="P157" t="s">
        <v>222</v>
      </c>
      <c r="S157">
        <v>0</v>
      </c>
      <c r="T157">
        <v>0</v>
      </c>
      <c r="U157">
        <v>0</v>
      </c>
      <c r="V157">
        <v>0</v>
      </c>
      <c r="W157">
        <v>0</v>
      </c>
      <c r="X157" s="140">
        <v>2200</v>
      </c>
      <c r="Y157" s="209">
        <f t="shared" si="2"/>
        <v>2200</v>
      </c>
      <c r="Z157">
        <v>0</v>
      </c>
      <c r="AE157"/>
      <c r="AF157"/>
      <c r="AG157" t="s">
        <v>223</v>
      </c>
      <c r="AN157" t="s">
        <v>218</v>
      </c>
      <c r="AO157" t="s">
        <v>224</v>
      </c>
      <c r="AP157" t="s">
        <v>225</v>
      </c>
      <c r="AQ157">
        <v>0.13</v>
      </c>
      <c r="AR157" t="s">
        <v>226</v>
      </c>
    </row>
    <row r="158" hidden="1" spans="1:44">
      <c r="A158" t="s">
        <v>105</v>
      </c>
      <c r="B158" t="s">
        <v>18</v>
      </c>
      <c r="C158" s="209" t="s">
        <v>19</v>
      </c>
      <c r="D158" s="210">
        <v>71020121060298</v>
      </c>
      <c r="E158" s="211">
        <v>44354</v>
      </c>
      <c r="F158" t="s">
        <v>218</v>
      </c>
      <c r="G158" t="s">
        <v>219</v>
      </c>
      <c r="H158">
        <v>1</v>
      </c>
      <c r="I158" t="s">
        <v>173</v>
      </c>
      <c r="J158" t="s">
        <v>220</v>
      </c>
      <c r="K158" t="s">
        <v>221</v>
      </c>
      <c r="L158">
        <v>600</v>
      </c>
      <c r="M158" s="211">
        <v>44398</v>
      </c>
      <c r="N158" s="211">
        <v>44398</v>
      </c>
      <c r="O158" s="212" t="s">
        <v>60</v>
      </c>
      <c r="P158" t="s">
        <v>222</v>
      </c>
      <c r="S158">
        <v>0</v>
      </c>
      <c r="T158">
        <v>0</v>
      </c>
      <c r="U158">
        <v>0</v>
      </c>
      <c r="V158">
        <v>0</v>
      </c>
      <c r="W158">
        <v>0</v>
      </c>
      <c r="X158" s="140">
        <v>600</v>
      </c>
      <c r="Y158" s="209">
        <f t="shared" si="2"/>
        <v>600</v>
      </c>
      <c r="Z158">
        <v>0</v>
      </c>
      <c r="AE158"/>
      <c r="AF158"/>
      <c r="AG158" t="s">
        <v>223</v>
      </c>
      <c r="AN158" t="s">
        <v>218</v>
      </c>
      <c r="AO158" t="s">
        <v>224</v>
      </c>
      <c r="AP158" t="s">
        <v>225</v>
      </c>
      <c r="AQ158">
        <v>0.13</v>
      </c>
      <c r="AR158" t="s">
        <v>226</v>
      </c>
    </row>
    <row r="159" hidden="1" spans="1:44">
      <c r="A159" t="s">
        <v>105</v>
      </c>
      <c r="B159" t="s">
        <v>18</v>
      </c>
      <c r="C159" s="209" t="s">
        <v>19</v>
      </c>
      <c r="D159" s="210">
        <v>71020121060298</v>
      </c>
      <c r="E159" s="211">
        <v>44354</v>
      </c>
      <c r="F159" t="s">
        <v>218</v>
      </c>
      <c r="G159" t="s">
        <v>219</v>
      </c>
      <c r="H159">
        <v>3</v>
      </c>
      <c r="I159" t="s">
        <v>165</v>
      </c>
      <c r="J159" t="s">
        <v>246</v>
      </c>
      <c r="K159" t="s">
        <v>221</v>
      </c>
      <c r="L159">
        <v>9000</v>
      </c>
      <c r="M159" s="211">
        <v>44387</v>
      </c>
      <c r="N159" s="211">
        <v>44387</v>
      </c>
      <c r="O159" s="212" t="s">
        <v>60</v>
      </c>
      <c r="P159" t="s">
        <v>222</v>
      </c>
      <c r="S159">
        <v>0</v>
      </c>
      <c r="T159">
        <v>0</v>
      </c>
      <c r="U159">
        <v>0</v>
      </c>
      <c r="V159">
        <v>0</v>
      </c>
      <c r="W159">
        <v>0</v>
      </c>
      <c r="X159" s="140">
        <v>9000</v>
      </c>
      <c r="Y159" s="209">
        <f t="shared" si="2"/>
        <v>9000</v>
      </c>
      <c r="Z159">
        <v>0</v>
      </c>
      <c r="AE159"/>
      <c r="AF159"/>
      <c r="AG159" t="s">
        <v>223</v>
      </c>
      <c r="AN159" t="s">
        <v>218</v>
      </c>
      <c r="AO159" t="s">
        <v>224</v>
      </c>
      <c r="AP159" t="s">
        <v>225</v>
      </c>
      <c r="AQ159">
        <v>0.13</v>
      </c>
      <c r="AR159" t="s">
        <v>226</v>
      </c>
    </row>
    <row r="160" hidden="1" spans="1:44">
      <c r="A160" t="s">
        <v>105</v>
      </c>
      <c r="B160" t="s">
        <v>18</v>
      </c>
      <c r="C160" s="209" t="s">
        <v>19</v>
      </c>
      <c r="D160" s="210">
        <v>71020121060298</v>
      </c>
      <c r="E160" s="211">
        <v>44354</v>
      </c>
      <c r="F160" t="s">
        <v>218</v>
      </c>
      <c r="G160" t="s">
        <v>219</v>
      </c>
      <c r="H160">
        <v>4</v>
      </c>
      <c r="I160" t="s">
        <v>165</v>
      </c>
      <c r="J160" t="s">
        <v>246</v>
      </c>
      <c r="K160" t="s">
        <v>221</v>
      </c>
      <c r="L160">
        <v>9000</v>
      </c>
      <c r="M160" s="211">
        <v>44386</v>
      </c>
      <c r="N160" s="211">
        <v>44386</v>
      </c>
      <c r="O160" s="212" t="s">
        <v>60</v>
      </c>
      <c r="P160" t="s">
        <v>222</v>
      </c>
      <c r="S160">
        <v>0</v>
      </c>
      <c r="T160">
        <v>0</v>
      </c>
      <c r="U160">
        <v>0</v>
      </c>
      <c r="V160">
        <v>0</v>
      </c>
      <c r="W160">
        <v>0</v>
      </c>
      <c r="X160" s="140">
        <v>9000</v>
      </c>
      <c r="Y160" s="209">
        <f t="shared" si="2"/>
        <v>9000</v>
      </c>
      <c r="Z160">
        <v>0</v>
      </c>
      <c r="AE160"/>
      <c r="AF160"/>
      <c r="AG160" t="s">
        <v>223</v>
      </c>
      <c r="AN160" t="s">
        <v>218</v>
      </c>
      <c r="AO160" t="s">
        <v>224</v>
      </c>
      <c r="AP160" t="s">
        <v>225</v>
      </c>
      <c r="AQ160">
        <v>0.13</v>
      </c>
      <c r="AR160" t="s">
        <v>226</v>
      </c>
    </row>
    <row r="161" hidden="1" spans="1:44">
      <c r="A161" t="s">
        <v>105</v>
      </c>
      <c r="B161" t="s">
        <v>18</v>
      </c>
      <c r="C161" s="209" t="s">
        <v>19</v>
      </c>
      <c r="D161" s="210">
        <v>71020121060298</v>
      </c>
      <c r="E161" s="211">
        <v>44354</v>
      </c>
      <c r="F161" t="s">
        <v>218</v>
      </c>
      <c r="G161" t="s">
        <v>219</v>
      </c>
      <c r="H161">
        <v>5</v>
      </c>
      <c r="I161" t="s">
        <v>165</v>
      </c>
      <c r="J161" t="s">
        <v>246</v>
      </c>
      <c r="K161" t="s">
        <v>221</v>
      </c>
      <c r="L161">
        <v>9000</v>
      </c>
      <c r="M161" s="211">
        <v>44385</v>
      </c>
      <c r="N161" s="211">
        <v>44385</v>
      </c>
      <c r="O161" s="212" t="s">
        <v>60</v>
      </c>
      <c r="P161" t="s">
        <v>222</v>
      </c>
      <c r="S161">
        <v>0</v>
      </c>
      <c r="T161">
        <v>0</v>
      </c>
      <c r="U161">
        <v>0</v>
      </c>
      <c r="V161">
        <v>0</v>
      </c>
      <c r="W161">
        <v>0</v>
      </c>
      <c r="X161" s="140">
        <v>9000</v>
      </c>
      <c r="Y161" s="209">
        <f t="shared" si="2"/>
        <v>9000</v>
      </c>
      <c r="Z161">
        <v>0</v>
      </c>
      <c r="AE161"/>
      <c r="AF161"/>
      <c r="AG161" t="s">
        <v>223</v>
      </c>
      <c r="AN161" t="s">
        <v>218</v>
      </c>
      <c r="AO161" t="s">
        <v>224</v>
      </c>
      <c r="AP161" t="s">
        <v>225</v>
      </c>
      <c r="AQ161">
        <v>0.13</v>
      </c>
      <c r="AR161" t="s">
        <v>226</v>
      </c>
    </row>
    <row r="162" hidden="1" spans="1:44">
      <c r="A162" t="s">
        <v>105</v>
      </c>
      <c r="B162" t="s">
        <v>18</v>
      </c>
      <c r="C162" s="209" t="s">
        <v>19</v>
      </c>
      <c r="D162" s="210">
        <v>71020121060298</v>
      </c>
      <c r="E162" s="211">
        <v>44354</v>
      </c>
      <c r="F162" t="s">
        <v>218</v>
      </c>
      <c r="G162" t="s">
        <v>219</v>
      </c>
      <c r="H162">
        <v>6</v>
      </c>
      <c r="I162" t="s">
        <v>165</v>
      </c>
      <c r="J162" t="s">
        <v>246</v>
      </c>
      <c r="K162" t="s">
        <v>221</v>
      </c>
      <c r="L162">
        <v>9000</v>
      </c>
      <c r="M162" s="211">
        <v>44382</v>
      </c>
      <c r="N162" s="211">
        <v>44382</v>
      </c>
      <c r="O162" s="212" t="s">
        <v>60</v>
      </c>
      <c r="P162" t="s">
        <v>222</v>
      </c>
      <c r="S162">
        <v>0</v>
      </c>
      <c r="T162">
        <v>0</v>
      </c>
      <c r="U162">
        <v>0</v>
      </c>
      <c r="V162">
        <v>0</v>
      </c>
      <c r="W162">
        <v>0</v>
      </c>
      <c r="X162" s="140">
        <v>9000</v>
      </c>
      <c r="Y162" s="209">
        <f t="shared" si="2"/>
        <v>9000</v>
      </c>
      <c r="Z162">
        <v>0</v>
      </c>
      <c r="AE162"/>
      <c r="AF162"/>
      <c r="AG162" t="s">
        <v>223</v>
      </c>
      <c r="AN162" t="s">
        <v>218</v>
      </c>
      <c r="AO162" t="s">
        <v>224</v>
      </c>
      <c r="AP162" t="s">
        <v>225</v>
      </c>
      <c r="AQ162">
        <v>0.13</v>
      </c>
      <c r="AR162" t="s">
        <v>226</v>
      </c>
    </row>
    <row r="163" hidden="1" spans="1:44">
      <c r="A163" t="s">
        <v>105</v>
      </c>
      <c r="B163" t="s">
        <v>18</v>
      </c>
      <c r="C163" s="209" t="s">
        <v>19</v>
      </c>
      <c r="D163" s="210">
        <v>71020121060298</v>
      </c>
      <c r="E163" s="211">
        <v>44354</v>
      </c>
      <c r="F163" t="s">
        <v>218</v>
      </c>
      <c r="G163" t="s">
        <v>219</v>
      </c>
      <c r="H163">
        <v>10</v>
      </c>
      <c r="I163" t="s">
        <v>165</v>
      </c>
      <c r="J163" t="s">
        <v>246</v>
      </c>
      <c r="K163" t="s">
        <v>221</v>
      </c>
      <c r="L163">
        <v>7400</v>
      </c>
      <c r="M163" s="211">
        <v>44388</v>
      </c>
      <c r="N163" s="211">
        <v>44388</v>
      </c>
      <c r="O163" s="212" t="s">
        <v>60</v>
      </c>
      <c r="P163" t="s">
        <v>222</v>
      </c>
      <c r="S163">
        <v>0</v>
      </c>
      <c r="T163">
        <v>0</v>
      </c>
      <c r="U163">
        <v>0</v>
      </c>
      <c r="V163">
        <v>0</v>
      </c>
      <c r="W163">
        <v>0</v>
      </c>
      <c r="X163" s="140">
        <v>7400</v>
      </c>
      <c r="Y163" s="209">
        <f t="shared" si="2"/>
        <v>7400</v>
      </c>
      <c r="Z163">
        <v>0</v>
      </c>
      <c r="AE163"/>
      <c r="AF163"/>
      <c r="AG163" t="s">
        <v>223</v>
      </c>
      <c r="AN163" t="s">
        <v>218</v>
      </c>
      <c r="AO163" t="s">
        <v>224</v>
      </c>
      <c r="AP163" t="s">
        <v>225</v>
      </c>
      <c r="AQ163">
        <v>0.13</v>
      </c>
      <c r="AR163" t="s">
        <v>226</v>
      </c>
    </row>
    <row r="164" hidden="1" spans="1:44">
      <c r="A164" t="s">
        <v>105</v>
      </c>
      <c r="B164" t="s">
        <v>18</v>
      </c>
      <c r="C164" s="209" t="s">
        <v>19</v>
      </c>
      <c r="D164" s="210">
        <v>71020121060805</v>
      </c>
      <c r="E164" s="211">
        <v>44363</v>
      </c>
      <c r="F164" t="s">
        <v>218</v>
      </c>
      <c r="G164" t="s">
        <v>219</v>
      </c>
      <c r="H164">
        <v>1</v>
      </c>
      <c r="I164" t="s">
        <v>170</v>
      </c>
      <c r="J164" t="s">
        <v>249</v>
      </c>
      <c r="K164" t="s">
        <v>221</v>
      </c>
      <c r="L164">
        <v>4300</v>
      </c>
      <c r="M164" s="211">
        <v>44379</v>
      </c>
      <c r="N164" s="211">
        <v>44401</v>
      </c>
      <c r="O164" s="212" t="s">
        <v>60</v>
      </c>
      <c r="P164" t="s">
        <v>222</v>
      </c>
      <c r="S164">
        <v>0</v>
      </c>
      <c r="T164">
        <v>0</v>
      </c>
      <c r="U164">
        <v>0</v>
      </c>
      <c r="V164">
        <v>0</v>
      </c>
      <c r="W164">
        <v>0</v>
      </c>
      <c r="X164" s="140">
        <v>4300</v>
      </c>
      <c r="Y164" s="209">
        <f t="shared" si="2"/>
        <v>4300</v>
      </c>
      <c r="Z164">
        <v>0</v>
      </c>
      <c r="AE164"/>
      <c r="AF164"/>
      <c r="AG164" t="s">
        <v>223</v>
      </c>
      <c r="AN164" t="s">
        <v>218</v>
      </c>
      <c r="AO164" t="s">
        <v>224</v>
      </c>
      <c r="AP164" t="s">
        <v>225</v>
      </c>
      <c r="AQ164">
        <v>0.13</v>
      </c>
      <c r="AR164" t="s">
        <v>226</v>
      </c>
    </row>
    <row r="165" hidden="1" spans="1:44">
      <c r="A165" t="s">
        <v>105</v>
      </c>
      <c r="B165" t="s">
        <v>18</v>
      </c>
      <c r="C165" s="209" t="s">
        <v>19</v>
      </c>
      <c r="D165" s="210">
        <v>71020121060805</v>
      </c>
      <c r="E165" s="211">
        <v>44363</v>
      </c>
      <c r="F165" t="s">
        <v>218</v>
      </c>
      <c r="G165" t="s">
        <v>219</v>
      </c>
      <c r="H165">
        <v>2</v>
      </c>
      <c r="I165" t="s">
        <v>170</v>
      </c>
      <c r="J165" t="s">
        <v>249</v>
      </c>
      <c r="K165" t="s">
        <v>221</v>
      </c>
      <c r="L165">
        <v>4300</v>
      </c>
      <c r="M165" s="211">
        <v>44378</v>
      </c>
      <c r="N165" s="211">
        <v>44400</v>
      </c>
      <c r="O165" s="212" t="s">
        <v>60</v>
      </c>
      <c r="P165" t="s">
        <v>222</v>
      </c>
      <c r="S165">
        <v>0</v>
      </c>
      <c r="T165">
        <v>0</v>
      </c>
      <c r="U165">
        <v>0</v>
      </c>
      <c r="V165">
        <v>0</v>
      </c>
      <c r="W165">
        <v>0</v>
      </c>
      <c r="X165" s="140">
        <v>4300</v>
      </c>
      <c r="Y165" s="209">
        <f t="shared" si="2"/>
        <v>4300</v>
      </c>
      <c r="Z165">
        <v>0</v>
      </c>
      <c r="AE165"/>
      <c r="AF165"/>
      <c r="AG165" t="s">
        <v>223</v>
      </c>
      <c r="AN165" t="s">
        <v>218</v>
      </c>
      <c r="AO165" t="s">
        <v>224</v>
      </c>
      <c r="AP165" t="s">
        <v>225</v>
      </c>
      <c r="AQ165">
        <v>0.13</v>
      </c>
      <c r="AR165" t="s">
        <v>226</v>
      </c>
    </row>
    <row r="166" hidden="1" spans="1:44">
      <c r="A166" t="s">
        <v>105</v>
      </c>
      <c r="B166" t="s">
        <v>18</v>
      </c>
      <c r="C166" s="209" t="s">
        <v>19</v>
      </c>
      <c r="D166" s="210">
        <v>71020121060805</v>
      </c>
      <c r="E166" s="211">
        <v>44363</v>
      </c>
      <c r="F166" t="s">
        <v>218</v>
      </c>
      <c r="G166" t="s">
        <v>219</v>
      </c>
      <c r="H166">
        <v>3</v>
      </c>
      <c r="I166" t="s">
        <v>170</v>
      </c>
      <c r="J166" t="s">
        <v>249</v>
      </c>
      <c r="K166" t="s">
        <v>221</v>
      </c>
      <c r="L166">
        <v>4300</v>
      </c>
      <c r="M166" s="211">
        <v>44377</v>
      </c>
      <c r="N166" s="211">
        <v>44399</v>
      </c>
      <c r="O166" s="212" t="s">
        <v>60</v>
      </c>
      <c r="P166" t="s">
        <v>222</v>
      </c>
      <c r="S166">
        <v>0</v>
      </c>
      <c r="T166">
        <v>0</v>
      </c>
      <c r="U166">
        <v>0</v>
      </c>
      <c r="V166">
        <v>0</v>
      </c>
      <c r="W166">
        <v>0</v>
      </c>
      <c r="X166" s="140">
        <v>4300</v>
      </c>
      <c r="Y166" s="209">
        <f t="shared" si="2"/>
        <v>4300</v>
      </c>
      <c r="Z166">
        <v>0</v>
      </c>
      <c r="AE166"/>
      <c r="AF166"/>
      <c r="AG166" t="s">
        <v>223</v>
      </c>
      <c r="AN166" t="s">
        <v>218</v>
      </c>
      <c r="AO166" t="s">
        <v>224</v>
      </c>
      <c r="AP166" t="s">
        <v>225</v>
      </c>
      <c r="AQ166">
        <v>0.13</v>
      </c>
      <c r="AR166" t="s">
        <v>226</v>
      </c>
    </row>
    <row r="167" hidden="1" spans="1:44">
      <c r="A167" t="s">
        <v>105</v>
      </c>
      <c r="B167" t="s">
        <v>18</v>
      </c>
      <c r="C167" s="209" t="s">
        <v>19</v>
      </c>
      <c r="D167" s="210">
        <v>71020121060805</v>
      </c>
      <c r="E167" s="211">
        <v>44363</v>
      </c>
      <c r="F167" t="s">
        <v>218</v>
      </c>
      <c r="G167" t="s">
        <v>219</v>
      </c>
      <c r="H167">
        <v>4</v>
      </c>
      <c r="I167" t="s">
        <v>170</v>
      </c>
      <c r="J167" t="s">
        <v>249</v>
      </c>
      <c r="K167" t="s">
        <v>221</v>
      </c>
      <c r="L167">
        <v>4300</v>
      </c>
      <c r="M167" s="211">
        <v>44376</v>
      </c>
      <c r="N167" s="211">
        <v>44398</v>
      </c>
      <c r="O167" s="212" t="s">
        <v>60</v>
      </c>
      <c r="P167" t="s">
        <v>222</v>
      </c>
      <c r="S167">
        <v>0</v>
      </c>
      <c r="T167">
        <v>0</v>
      </c>
      <c r="U167">
        <v>0</v>
      </c>
      <c r="V167">
        <v>0</v>
      </c>
      <c r="W167">
        <v>0</v>
      </c>
      <c r="X167" s="140">
        <v>4300</v>
      </c>
      <c r="Y167" s="209">
        <f t="shared" si="2"/>
        <v>4300</v>
      </c>
      <c r="Z167">
        <v>0</v>
      </c>
      <c r="AE167"/>
      <c r="AF167"/>
      <c r="AG167" t="s">
        <v>223</v>
      </c>
      <c r="AN167" t="s">
        <v>218</v>
      </c>
      <c r="AO167" t="s">
        <v>224</v>
      </c>
      <c r="AP167" t="s">
        <v>225</v>
      </c>
      <c r="AQ167">
        <v>0.13</v>
      </c>
      <c r="AR167" t="s">
        <v>226</v>
      </c>
    </row>
    <row r="168" hidden="1" spans="1:44">
      <c r="A168" t="s">
        <v>105</v>
      </c>
      <c r="B168" t="s">
        <v>18</v>
      </c>
      <c r="C168" s="209" t="s">
        <v>19</v>
      </c>
      <c r="D168" s="210">
        <v>71020121060805</v>
      </c>
      <c r="E168" s="211">
        <v>44363</v>
      </c>
      <c r="F168" t="s">
        <v>218</v>
      </c>
      <c r="G168" t="s">
        <v>219</v>
      </c>
      <c r="H168">
        <v>5</v>
      </c>
      <c r="I168" t="s">
        <v>170</v>
      </c>
      <c r="J168" t="s">
        <v>249</v>
      </c>
      <c r="K168" t="s">
        <v>221</v>
      </c>
      <c r="L168">
        <v>4300</v>
      </c>
      <c r="M168" s="211">
        <v>44375</v>
      </c>
      <c r="N168" s="211">
        <v>44397</v>
      </c>
      <c r="O168" s="212" t="s">
        <v>60</v>
      </c>
      <c r="P168" t="s">
        <v>222</v>
      </c>
      <c r="S168">
        <v>0</v>
      </c>
      <c r="T168">
        <v>0</v>
      </c>
      <c r="U168">
        <v>0</v>
      </c>
      <c r="V168">
        <v>0</v>
      </c>
      <c r="W168">
        <v>0</v>
      </c>
      <c r="X168" s="140">
        <v>4300</v>
      </c>
      <c r="Y168" s="209">
        <f t="shared" si="2"/>
        <v>4300</v>
      </c>
      <c r="Z168">
        <v>0</v>
      </c>
      <c r="AE168"/>
      <c r="AF168"/>
      <c r="AG168" t="s">
        <v>223</v>
      </c>
      <c r="AN168" t="s">
        <v>218</v>
      </c>
      <c r="AO168" t="s">
        <v>224</v>
      </c>
      <c r="AP168" t="s">
        <v>225</v>
      </c>
      <c r="AQ168">
        <v>0.13</v>
      </c>
      <c r="AR168" t="s">
        <v>226</v>
      </c>
    </row>
    <row r="169" hidden="1" spans="1:44">
      <c r="A169" t="s">
        <v>105</v>
      </c>
      <c r="B169" t="s">
        <v>18</v>
      </c>
      <c r="C169" s="209" t="s">
        <v>19</v>
      </c>
      <c r="D169" s="210">
        <v>71020121060805</v>
      </c>
      <c r="E169" s="211">
        <v>44363</v>
      </c>
      <c r="F169" t="s">
        <v>218</v>
      </c>
      <c r="G169" t="s">
        <v>219</v>
      </c>
      <c r="H169">
        <v>6</v>
      </c>
      <c r="I169" t="s">
        <v>170</v>
      </c>
      <c r="J169" t="s">
        <v>249</v>
      </c>
      <c r="K169" t="s">
        <v>221</v>
      </c>
      <c r="L169">
        <v>4300</v>
      </c>
      <c r="M169" s="211">
        <v>44374</v>
      </c>
      <c r="N169" s="211">
        <v>44396</v>
      </c>
      <c r="O169" s="212" t="s">
        <v>60</v>
      </c>
      <c r="P169" t="s">
        <v>222</v>
      </c>
      <c r="S169">
        <v>0</v>
      </c>
      <c r="T169">
        <v>0</v>
      </c>
      <c r="U169">
        <v>0</v>
      </c>
      <c r="V169">
        <v>0</v>
      </c>
      <c r="W169">
        <v>0</v>
      </c>
      <c r="X169" s="140">
        <v>4300</v>
      </c>
      <c r="Y169" s="209">
        <f t="shared" si="2"/>
        <v>4300</v>
      </c>
      <c r="Z169">
        <v>0</v>
      </c>
      <c r="AE169"/>
      <c r="AF169"/>
      <c r="AG169" t="s">
        <v>223</v>
      </c>
      <c r="AN169" t="s">
        <v>218</v>
      </c>
      <c r="AO169" t="s">
        <v>224</v>
      </c>
      <c r="AP169" t="s">
        <v>225</v>
      </c>
      <c r="AQ169">
        <v>0.13</v>
      </c>
      <c r="AR169" t="s">
        <v>226</v>
      </c>
    </row>
    <row r="170" hidden="1" spans="1:44">
      <c r="A170" t="s">
        <v>105</v>
      </c>
      <c r="B170" t="s">
        <v>18</v>
      </c>
      <c r="C170" s="209" t="s">
        <v>19</v>
      </c>
      <c r="D170" s="210">
        <v>71020121060805</v>
      </c>
      <c r="E170" s="211">
        <v>44363</v>
      </c>
      <c r="F170" t="s">
        <v>218</v>
      </c>
      <c r="G170" t="s">
        <v>219</v>
      </c>
      <c r="H170">
        <v>7</v>
      </c>
      <c r="I170" t="s">
        <v>170</v>
      </c>
      <c r="J170" t="s">
        <v>249</v>
      </c>
      <c r="K170" t="s">
        <v>221</v>
      </c>
      <c r="L170">
        <v>4300</v>
      </c>
      <c r="M170" s="211">
        <v>44373</v>
      </c>
      <c r="N170" s="211">
        <v>44395</v>
      </c>
      <c r="O170" s="212" t="s">
        <v>60</v>
      </c>
      <c r="P170" t="s">
        <v>222</v>
      </c>
      <c r="S170">
        <v>0</v>
      </c>
      <c r="T170">
        <v>0</v>
      </c>
      <c r="U170">
        <v>0</v>
      </c>
      <c r="V170">
        <v>0</v>
      </c>
      <c r="W170">
        <v>0</v>
      </c>
      <c r="X170" s="140">
        <v>4300</v>
      </c>
      <c r="Y170" s="209">
        <f t="shared" si="2"/>
        <v>4300</v>
      </c>
      <c r="Z170">
        <v>0</v>
      </c>
      <c r="AE170"/>
      <c r="AF170"/>
      <c r="AG170" t="s">
        <v>223</v>
      </c>
      <c r="AN170" t="s">
        <v>218</v>
      </c>
      <c r="AO170" t="s">
        <v>224</v>
      </c>
      <c r="AP170" t="s">
        <v>225</v>
      </c>
      <c r="AQ170">
        <v>0.13</v>
      </c>
      <c r="AR170" t="s">
        <v>226</v>
      </c>
    </row>
    <row r="171" hidden="1" spans="1:44">
      <c r="A171" t="s">
        <v>105</v>
      </c>
      <c r="B171" t="s">
        <v>18</v>
      </c>
      <c r="C171" s="209" t="s">
        <v>19</v>
      </c>
      <c r="D171" s="210">
        <v>71020121060805</v>
      </c>
      <c r="E171" s="211">
        <v>44363</v>
      </c>
      <c r="F171" t="s">
        <v>218</v>
      </c>
      <c r="G171" t="s">
        <v>219</v>
      </c>
      <c r="H171">
        <v>8</v>
      </c>
      <c r="I171" t="s">
        <v>170</v>
      </c>
      <c r="J171" t="s">
        <v>249</v>
      </c>
      <c r="K171" t="s">
        <v>221</v>
      </c>
      <c r="L171">
        <v>4300</v>
      </c>
      <c r="M171" s="211">
        <v>44372</v>
      </c>
      <c r="N171" s="211">
        <v>44394</v>
      </c>
      <c r="O171" s="212" t="s">
        <v>60</v>
      </c>
      <c r="P171" t="s">
        <v>222</v>
      </c>
      <c r="S171">
        <v>0</v>
      </c>
      <c r="T171">
        <v>0</v>
      </c>
      <c r="U171">
        <v>0</v>
      </c>
      <c r="V171">
        <v>0</v>
      </c>
      <c r="W171">
        <v>0</v>
      </c>
      <c r="X171" s="140">
        <v>4300</v>
      </c>
      <c r="Y171" s="209">
        <f t="shared" si="2"/>
        <v>4300</v>
      </c>
      <c r="Z171">
        <v>0</v>
      </c>
      <c r="AE171"/>
      <c r="AF171"/>
      <c r="AG171" t="s">
        <v>223</v>
      </c>
      <c r="AN171" t="s">
        <v>218</v>
      </c>
      <c r="AO171" t="s">
        <v>224</v>
      </c>
      <c r="AP171" t="s">
        <v>225</v>
      </c>
      <c r="AQ171">
        <v>0.13</v>
      </c>
      <c r="AR171" t="s">
        <v>226</v>
      </c>
    </row>
    <row r="172" hidden="1" spans="1:44">
      <c r="A172" t="s">
        <v>105</v>
      </c>
      <c r="B172" t="s">
        <v>18</v>
      </c>
      <c r="C172" s="209" t="s">
        <v>19</v>
      </c>
      <c r="D172" s="210">
        <v>71020121060805</v>
      </c>
      <c r="E172" s="211">
        <v>44363</v>
      </c>
      <c r="F172" t="s">
        <v>218</v>
      </c>
      <c r="G172" t="s">
        <v>219</v>
      </c>
      <c r="H172">
        <v>9</v>
      </c>
      <c r="I172" t="s">
        <v>250</v>
      </c>
      <c r="J172" t="s">
        <v>220</v>
      </c>
      <c r="K172" t="s">
        <v>221</v>
      </c>
      <c r="L172">
        <v>1600</v>
      </c>
      <c r="M172" s="211">
        <v>44414</v>
      </c>
      <c r="N172" s="211">
        <v>44414</v>
      </c>
      <c r="O172" s="212" t="s">
        <v>227</v>
      </c>
      <c r="P172" t="s">
        <v>222</v>
      </c>
      <c r="S172">
        <v>0</v>
      </c>
      <c r="T172">
        <v>0</v>
      </c>
      <c r="U172">
        <v>0</v>
      </c>
      <c r="V172">
        <v>0</v>
      </c>
      <c r="W172">
        <v>0</v>
      </c>
      <c r="X172" s="140">
        <v>1600</v>
      </c>
      <c r="Y172" s="209">
        <f t="shared" si="2"/>
        <v>1600</v>
      </c>
      <c r="Z172">
        <v>0</v>
      </c>
      <c r="AE172"/>
      <c r="AF172"/>
      <c r="AG172" t="s">
        <v>223</v>
      </c>
      <c r="AN172" t="s">
        <v>218</v>
      </c>
      <c r="AO172" t="s">
        <v>224</v>
      </c>
      <c r="AP172" t="s">
        <v>225</v>
      </c>
      <c r="AQ172">
        <v>0.13</v>
      </c>
      <c r="AR172" t="s">
        <v>226</v>
      </c>
    </row>
    <row r="173" hidden="1" spans="1:44">
      <c r="A173" t="s">
        <v>105</v>
      </c>
      <c r="B173" t="s">
        <v>18</v>
      </c>
      <c r="C173" s="209" t="s">
        <v>19</v>
      </c>
      <c r="D173" s="210">
        <v>71020121060805</v>
      </c>
      <c r="E173" s="211">
        <v>44363</v>
      </c>
      <c r="F173" t="s">
        <v>218</v>
      </c>
      <c r="G173" t="s">
        <v>219</v>
      </c>
      <c r="H173">
        <v>10</v>
      </c>
      <c r="I173" t="s">
        <v>165</v>
      </c>
      <c r="J173" t="s">
        <v>246</v>
      </c>
      <c r="K173" t="s">
        <v>221</v>
      </c>
      <c r="L173">
        <v>7000</v>
      </c>
      <c r="M173" s="211">
        <v>44393</v>
      </c>
      <c r="N173" s="211">
        <v>44393</v>
      </c>
      <c r="O173" s="212" t="s">
        <v>60</v>
      </c>
      <c r="P173" t="s">
        <v>222</v>
      </c>
      <c r="S173">
        <v>0</v>
      </c>
      <c r="T173">
        <v>0</v>
      </c>
      <c r="U173">
        <v>0</v>
      </c>
      <c r="V173">
        <v>0</v>
      </c>
      <c r="W173">
        <v>0</v>
      </c>
      <c r="X173" s="140">
        <v>7000</v>
      </c>
      <c r="Y173" s="209">
        <f t="shared" si="2"/>
        <v>7000</v>
      </c>
      <c r="Z173">
        <v>0</v>
      </c>
      <c r="AE173"/>
      <c r="AF173"/>
      <c r="AG173" t="s">
        <v>223</v>
      </c>
      <c r="AN173" t="s">
        <v>218</v>
      </c>
      <c r="AO173" t="s">
        <v>224</v>
      </c>
      <c r="AP173" t="s">
        <v>225</v>
      </c>
      <c r="AQ173">
        <v>0.13</v>
      </c>
      <c r="AR173" t="s">
        <v>226</v>
      </c>
    </row>
    <row r="174" hidden="1" spans="1:44">
      <c r="A174" t="s">
        <v>105</v>
      </c>
      <c r="B174" t="s">
        <v>18</v>
      </c>
      <c r="C174" s="209" t="s">
        <v>19</v>
      </c>
      <c r="D174" s="210">
        <v>71020121060805</v>
      </c>
      <c r="E174" s="211">
        <v>44363</v>
      </c>
      <c r="F174" t="s">
        <v>218</v>
      </c>
      <c r="G174" t="s">
        <v>219</v>
      </c>
      <c r="H174">
        <v>11</v>
      </c>
      <c r="I174" t="s">
        <v>173</v>
      </c>
      <c r="J174" t="s">
        <v>220</v>
      </c>
      <c r="K174" t="s">
        <v>221</v>
      </c>
      <c r="L174">
        <v>500</v>
      </c>
      <c r="M174" s="211">
        <v>44399</v>
      </c>
      <c r="N174" s="211">
        <v>44399</v>
      </c>
      <c r="O174" s="212" t="s">
        <v>60</v>
      </c>
      <c r="P174" t="s">
        <v>222</v>
      </c>
      <c r="S174">
        <v>0</v>
      </c>
      <c r="T174">
        <v>0</v>
      </c>
      <c r="U174">
        <v>0</v>
      </c>
      <c r="V174">
        <v>0</v>
      </c>
      <c r="W174">
        <v>0</v>
      </c>
      <c r="X174" s="140">
        <v>500</v>
      </c>
      <c r="Y174" s="209">
        <f t="shared" si="2"/>
        <v>500</v>
      </c>
      <c r="Z174">
        <v>0</v>
      </c>
      <c r="AE174"/>
      <c r="AF174"/>
      <c r="AG174" t="s">
        <v>223</v>
      </c>
      <c r="AN174" t="s">
        <v>218</v>
      </c>
      <c r="AO174" t="s">
        <v>224</v>
      </c>
      <c r="AP174" t="s">
        <v>225</v>
      </c>
      <c r="AQ174">
        <v>0.13</v>
      </c>
      <c r="AR174" t="s">
        <v>226</v>
      </c>
    </row>
    <row r="175" hidden="1" spans="1:44">
      <c r="A175" t="s">
        <v>105</v>
      </c>
      <c r="B175" t="s">
        <v>18</v>
      </c>
      <c r="C175" s="209" t="s">
        <v>19</v>
      </c>
      <c r="D175" s="210">
        <v>71020121060805</v>
      </c>
      <c r="E175" s="211">
        <v>44363</v>
      </c>
      <c r="F175" t="s">
        <v>218</v>
      </c>
      <c r="G175" t="s">
        <v>219</v>
      </c>
      <c r="H175">
        <v>12</v>
      </c>
      <c r="I175" t="s">
        <v>166</v>
      </c>
      <c r="J175" t="s">
        <v>220</v>
      </c>
      <c r="K175" t="s">
        <v>221</v>
      </c>
      <c r="L175">
        <v>200</v>
      </c>
      <c r="M175" s="211">
        <v>44382</v>
      </c>
      <c r="N175" s="211">
        <v>44398</v>
      </c>
      <c r="O175" s="212" t="s">
        <v>60</v>
      </c>
      <c r="P175" t="s">
        <v>222</v>
      </c>
      <c r="S175">
        <v>0</v>
      </c>
      <c r="T175">
        <v>0</v>
      </c>
      <c r="U175">
        <v>0</v>
      </c>
      <c r="V175">
        <v>0</v>
      </c>
      <c r="W175">
        <v>0</v>
      </c>
      <c r="X175" s="140">
        <v>200</v>
      </c>
      <c r="Y175" s="209">
        <f t="shared" si="2"/>
        <v>200</v>
      </c>
      <c r="Z175">
        <v>0</v>
      </c>
      <c r="AE175"/>
      <c r="AF175"/>
      <c r="AG175" t="s">
        <v>223</v>
      </c>
      <c r="AN175" t="s">
        <v>218</v>
      </c>
      <c r="AO175" t="s">
        <v>224</v>
      </c>
      <c r="AP175" t="s">
        <v>225</v>
      </c>
      <c r="AQ175">
        <v>0.13</v>
      </c>
      <c r="AR175" t="s">
        <v>226</v>
      </c>
    </row>
    <row r="176" hidden="1" spans="1:44">
      <c r="A176" t="s">
        <v>105</v>
      </c>
      <c r="B176" t="s">
        <v>18</v>
      </c>
      <c r="C176" s="209" t="s">
        <v>19</v>
      </c>
      <c r="D176" s="210">
        <v>71020121060805</v>
      </c>
      <c r="E176" s="211">
        <v>44363</v>
      </c>
      <c r="F176" t="s">
        <v>218</v>
      </c>
      <c r="G176" t="s">
        <v>219</v>
      </c>
      <c r="H176">
        <v>13</v>
      </c>
      <c r="I176" t="s">
        <v>167</v>
      </c>
      <c r="J176" t="s">
        <v>242</v>
      </c>
      <c r="K176" t="s">
        <v>221</v>
      </c>
      <c r="L176">
        <v>3000</v>
      </c>
      <c r="M176" s="211">
        <v>44391</v>
      </c>
      <c r="N176" s="211">
        <v>44422</v>
      </c>
      <c r="O176" s="212" t="s">
        <v>227</v>
      </c>
      <c r="P176" t="s">
        <v>222</v>
      </c>
      <c r="S176">
        <v>0</v>
      </c>
      <c r="T176">
        <v>0</v>
      </c>
      <c r="U176">
        <v>0</v>
      </c>
      <c r="V176">
        <v>0</v>
      </c>
      <c r="W176">
        <v>0</v>
      </c>
      <c r="X176" s="140">
        <v>3000</v>
      </c>
      <c r="Y176" s="209">
        <f t="shared" si="2"/>
        <v>3000</v>
      </c>
      <c r="Z176">
        <v>0</v>
      </c>
      <c r="AE176"/>
      <c r="AF176"/>
      <c r="AG176" t="s">
        <v>223</v>
      </c>
      <c r="AN176" t="s">
        <v>218</v>
      </c>
      <c r="AO176" t="s">
        <v>224</v>
      </c>
      <c r="AP176" t="s">
        <v>225</v>
      </c>
      <c r="AQ176">
        <v>0.13</v>
      </c>
      <c r="AR176" t="s">
        <v>226</v>
      </c>
    </row>
    <row r="177" hidden="1" spans="1:44">
      <c r="A177" t="s">
        <v>105</v>
      </c>
      <c r="B177" t="s">
        <v>18</v>
      </c>
      <c r="C177" s="209" t="s">
        <v>19</v>
      </c>
      <c r="D177" s="210">
        <v>71020121060805</v>
      </c>
      <c r="E177" s="211">
        <v>44363</v>
      </c>
      <c r="F177" t="s">
        <v>218</v>
      </c>
      <c r="G177" t="s">
        <v>219</v>
      </c>
      <c r="H177">
        <v>14</v>
      </c>
      <c r="I177" t="s">
        <v>167</v>
      </c>
      <c r="J177" t="s">
        <v>242</v>
      </c>
      <c r="K177" t="s">
        <v>221</v>
      </c>
      <c r="L177">
        <v>3000</v>
      </c>
      <c r="M177" s="211">
        <v>44390</v>
      </c>
      <c r="N177" s="211">
        <v>44421</v>
      </c>
      <c r="O177" s="212" t="s">
        <v>227</v>
      </c>
      <c r="P177" t="s">
        <v>222</v>
      </c>
      <c r="S177">
        <v>0</v>
      </c>
      <c r="T177">
        <v>0</v>
      </c>
      <c r="U177">
        <v>0</v>
      </c>
      <c r="V177">
        <v>0</v>
      </c>
      <c r="W177">
        <v>0</v>
      </c>
      <c r="X177" s="140">
        <v>3000</v>
      </c>
      <c r="Y177" s="209">
        <f t="shared" si="2"/>
        <v>3000</v>
      </c>
      <c r="Z177">
        <v>0</v>
      </c>
      <c r="AE177"/>
      <c r="AF177"/>
      <c r="AG177" t="s">
        <v>223</v>
      </c>
      <c r="AN177" t="s">
        <v>218</v>
      </c>
      <c r="AO177" t="s">
        <v>224</v>
      </c>
      <c r="AP177" t="s">
        <v>225</v>
      </c>
      <c r="AQ177">
        <v>0.13</v>
      </c>
      <c r="AR177" t="s">
        <v>226</v>
      </c>
    </row>
    <row r="178" hidden="1" spans="1:44">
      <c r="A178" t="s">
        <v>105</v>
      </c>
      <c r="B178" t="s">
        <v>18</v>
      </c>
      <c r="C178" s="209" t="s">
        <v>19</v>
      </c>
      <c r="D178" s="210">
        <v>71020121060805</v>
      </c>
      <c r="E178" s="211">
        <v>44363</v>
      </c>
      <c r="F178" t="s">
        <v>218</v>
      </c>
      <c r="G178" t="s">
        <v>219</v>
      </c>
      <c r="H178">
        <v>15</v>
      </c>
      <c r="I178" t="s">
        <v>167</v>
      </c>
      <c r="J178" t="s">
        <v>242</v>
      </c>
      <c r="K178" t="s">
        <v>221</v>
      </c>
      <c r="L178">
        <v>3000</v>
      </c>
      <c r="M178" s="211">
        <v>44389</v>
      </c>
      <c r="N178" s="211">
        <v>44420</v>
      </c>
      <c r="O178" s="212" t="s">
        <v>227</v>
      </c>
      <c r="P178" t="s">
        <v>222</v>
      </c>
      <c r="S178">
        <v>0</v>
      </c>
      <c r="T178">
        <v>0</v>
      </c>
      <c r="U178">
        <v>0</v>
      </c>
      <c r="V178">
        <v>0</v>
      </c>
      <c r="W178">
        <v>0</v>
      </c>
      <c r="X178" s="140">
        <v>3000</v>
      </c>
      <c r="Y178" s="209">
        <f t="shared" si="2"/>
        <v>3000</v>
      </c>
      <c r="Z178">
        <v>0</v>
      </c>
      <c r="AE178"/>
      <c r="AF178"/>
      <c r="AG178" t="s">
        <v>223</v>
      </c>
      <c r="AN178" t="s">
        <v>218</v>
      </c>
      <c r="AO178" t="s">
        <v>224</v>
      </c>
      <c r="AP178" t="s">
        <v>225</v>
      </c>
      <c r="AQ178">
        <v>0.13</v>
      </c>
      <c r="AR178" t="s">
        <v>226</v>
      </c>
    </row>
    <row r="179" hidden="1" spans="1:44">
      <c r="A179" t="s">
        <v>105</v>
      </c>
      <c r="B179" t="s">
        <v>18</v>
      </c>
      <c r="C179" s="209" t="s">
        <v>19</v>
      </c>
      <c r="D179" s="210">
        <v>71020121060805</v>
      </c>
      <c r="E179" s="211">
        <v>44363</v>
      </c>
      <c r="F179" t="s">
        <v>218</v>
      </c>
      <c r="G179" t="s">
        <v>219</v>
      </c>
      <c r="H179">
        <v>16</v>
      </c>
      <c r="I179" t="s">
        <v>167</v>
      </c>
      <c r="J179" t="s">
        <v>242</v>
      </c>
      <c r="K179" t="s">
        <v>221</v>
      </c>
      <c r="L179">
        <v>3000</v>
      </c>
      <c r="M179" s="211">
        <v>44388</v>
      </c>
      <c r="N179" s="211">
        <v>44419</v>
      </c>
      <c r="O179" s="212" t="s">
        <v>227</v>
      </c>
      <c r="P179" t="s">
        <v>222</v>
      </c>
      <c r="S179">
        <v>0</v>
      </c>
      <c r="T179">
        <v>0</v>
      </c>
      <c r="U179">
        <v>0</v>
      </c>
      <c r="V179">
        <v>0</v>
      </c>
      <c r="W179">
        <v>0</v>
      </c>
      <c r="X179" s="140">
        <v>3000</v>
      </c>
      <c r="Y179" s="209">
        <f t="shared" si="2"/>
        <v>3000</v>
      </c>
      <c r="Z179">
        <v>0</v>
      </c>
      <c r="AE179"/>
      <c r="AF179"/>
      <c r="AG179" t="s">
        <v>223</v>
      </c>
      <c r="AN179" t="s">
        <v>218</v>
      </c>
      <c r="AO179" t="s">
        <v>224</v>
      </c>
      <c r="AP179" t="s">
        <v>225</v>
      </c>
      <c r="AQ179">
        <v>0.13</v>
      </c>
      <c r="AR179" t="s">
        <v>226</v>
      </c>
    </row>
    <row r="180" hidden="1" spans="1:44">
      <c r="A180" t="s">
        <v>105</v>
      </c>
      <c r="B180" t="s">
        <v>18</v>
      </c>
      <c r="C180" s="209" t="s">
        <v>19</v>
      </c>
      <c r="D180" s="210">
        <v>71020121060805</v>
      </c>
      <c r="E180" s="211">
        <v>44363</v>
      </c>
      <c r="F180" t="s">
        <v>218</v>
      </c>
      <c r="G180" t="s">
        <v>219</v>
      </c>
      <c r="H180">
        <v>17</v>
      </c>
      <c r="I180" t="s">
        <v>167</v>
      </c>
      <c r="J180" t="s">
        <v>242</v>
      </c>
      <c r="K180" t="s">
        <v>221</v>
      </c>
      <c r="L180">
        <v>3000</v>
      </c>
      <c r="M180" s="211">
        <v>44387</v>
      </c>
      <c r="N180" s="211">
        <v>44418</v>
      </c>
      <c r="O180" s="212" t="s">
        <v>227</v>
      </c>
      <c r="P180" t="s">
        <v>222</v>
      </c>
      <c r="S180">
        <v>0</v>
      </c>
      <c r="T180">
        <v>0</v>
      </c>
      <c r="U180">
        <v>0</v>
      </c>
      <c r="V180">
        <v>0</v>
      </c>
      <c r="W180">
        <v>0</v>
      </c>
      <c r="X180" s="140">
        <v>3000</v>
      </c>
      <c r="Y180" s="209">
        <f t="shared" si="2"/>
        <v>3000</v>
      </c>
      <c r="Z180">
        <v>0</v>
      </c>
      <c r="AE180"/>
      <c r="AF180"/>
      <c r="AG180" t="s">
        <v>223</v>
      </c>
      <c r="AN180" t="s">
        <v>218</v>
      </c>
      <c r="AO180" t="s">
        <v>224</v>
      </c>
      <c r="AP180" t="s">
        <v>225</v>
      </c>
      <c r="AQ180">
        <v>0.13</v>
      </c>
      <c r="AR180" t="s">
        <v>226</v>
      </c>
    </row>
    <row r="181" hidden="1" spans="1:44">
      <c r="A181" t="s">
        <v>105</v>
      </c>
      <c r="B181" t="s">
        <v>18</v>
      </c>
      <c r="C181" s="209" t="s">
        <v>19</v>
      </c>
      <c r="D181" s="210">
        <v>71020121060805</v>
      </c>
      <c r="E181" s="211">
        <v>44363</v>
      </c>
      <c r="F181" t="s">
        <v>218</v>
      </c>
      <c r="G181" t="s">
        <v>219</v>
      </c>
      <c r="H181">
        <v>18</v>
      </c>
      <c r="I181" t="s">
        <v>167</v>
      </c>
      <c r="J181" t="s">
        <v>242</v>
      </c>
      <c r="K181" t="s">
        <v>221</v>
      </c>
      <c r="L181">
        <v>3000</v>
      </c>
      <c r="M181" s="211">
        <v>44386</v>
      </c>
      <c r="N181" s="211">
        <v>44417</v>
      </c>
      <c r="O181" s="212" t="s">
        <v>227</v>
      </c>
      <c r="P181" t="s">
        <v>222</v>
      </c>
      <c r="S181">
        <v>0</v>
      </c>
      <c r="T181">
        <v>0</v>
      </c>
      <c r="U181">
        <v>0</v>
      </c>
      <c r="V181">
        <v>0</v>
      </c>
      <c r="W181">
        <v>0</v>
      </c>
      <c r="X181" s="140">
        <v>3000</v>
      </c>
      <c r="Y181" s="209">
        <f t="shared" si="2"/>
        <v>3000</v>
      </c>
      <c r="Z181">
        <v>0</v>
      </c>
      <c r="AE181"/>
      <c r="AF181"/>
      <c r="AG181" t="s">
        <v>223</v>
      </c>
      <c r="AN181" t="s">
        <v>218</v>
      </c>
      <c r="AO181" t="s">
        <v>224</v>
      </c>
      <c r="AP181" t="s">
        <v>225</v>
      </c>
      <c r="AQ181">
        <v>0.13</v>
      </c>
      <c r="AR181" t="s">
        <v>226</v>
      </c>
    </row>
    <row r="182" hidden="1" spans="1:44">
      <c r="A182" t="s">
        <v>105</v>
      </c>
      <c r="B182" t="s">
        <v>18</v>
      </c>
      <c r="C182" s="209" t="s">
        <v>19</v>
      </c>
      <c r="D182" s="210">
        <v>71020121060805</v>
      </c>
      <c r="E182" s="211">
        <v>44363</v>
      </c>
      <c r="F182" t="s">
        <v>218</v>
      </c>
      <c r="G182" t="s">
        <v>219</v>
      </c>
      <c r="H182">
        <v>19</v>
      </c>
      <c r="I182" t="s">
        <v>167</v>
      </c>
      <c r="J182" t="s">
        <v>242</v>
      </c>
      <c r="K182" t="s">
        <v>221</v>
      </c>
      <c r="L182">
        <v>3000</v>
      </c>
      <c r="M182" s="211">
        <v>44385</v>
      </c>
      <c r="N182" s="211">
        <v>44416</v>
      </c>
      <c r="O182" s="212" t="s">
        <v>227</v>
      </c>
      <c r="P182" t="s">
        <v>222</v>
      </c>
      <c r="S182">
        <v>0</v>
      </c>
      <c r="T182">
        <v>0</v>
      </c>
      <c r="U182">
        <v>0</v>
      </c>
      <c r="V182">
        <v>0</v>
      </c>
      <c r="W182">
        <v>0</v>
      </c>
      <c r="X182" s="140">
        <v>3000</v>
      </c>
      <c r="Y182" s="209">
        <f t="shared" si="2"/>
        <v>3000</v>
      </c>
      <c r="Z182">
        <v>0</v>
      </c>
      <c r="AE182"/>
      <c r="AF182"/>
      <c r="AG182" t="s">
        <v>223</v>
      </c>
      <c r="AN182" t="s">
        <v>218</v>
      </c>
      <c r="AO182" t="s">
        <v>224</v>
      </c>
      <c r="AP182" t="s">
        <v>225</v>
      </c>
      <c r="AQ182">
        <v>0.13</v>
      </c>
      <c r="AR182" t="s">
        <v>226</v>
      </c>
    </row>
    <row r="183" hidden="1" spans="1:44">
      <c r="A183" t="s">
        <v>105</v>
      </c>
      <c r="B183" t="s">
        <v>18</v>
      </c>
      <c r="C183" s="209" t="s">
        <v>19</v>
      </c>
      <c r="D183" s="210">
        <v>71020121060805</v>
      </c>
      <c r="E183" s="211">
        <v>44363</v>
      </c>
      <c r="F183" t="s">
        <v>218</v>
      </c>
      <c r="G183" t="s">
        <v>219</v>
      </c>
      <c r="H183">
        <v>20</v>
      </c>
      <c r="I183" t="s">
        <v>167</v>
      </c>
      <c r="J183" t="s">
        <v>242</v>
      </c>
      <c r="K183" t="s">
        <v>221</v>
      </c>
      <c r="L183">
        <v>3000</v>
      </c>
      <c r="M183" s="211">
        <v>44384</v>
      </c>
      <c r="N183" s="211">
        <v>44415</v>
      </c>
      <c r="O183" s="212" t="s">
        <v>227</v>
      </c>
      <c r="P183" t="s">
        <v>222</v>
      </c>
      <c r="S183">
        <v>0</v>
      </c>
      <c r="T183">
        <v>0</v>
      </c>
      <c r="U183">
        <v>0</v>
      </c>
      <c r="V183">
        <v>0</v>
      </c>
      <c r="W183">
        <v>0</v>
      </c>
      <c r="X183" s="140">
        <v>3000</v>
      </c>
      <c r="Y183" s="209">
        <f t="shared" si="2"/>
        <v>3000</v>
      </c>
      <c r="Z183">
        <v>0</v>
      </c>
      <c r="AE183"/>
      <c r="AF183"/>
      <c r="AG183" t="s">
        <v>223</v>
      </c>
      <c r="AN183" t="s">
        <v>218</v>
      </c>
      <c r="AO183" t="s">
        <v>224</v>
      </c>
      <c r="AP183" t="s">
        <v>225</v>
      </c>
      <c r="AQ183">
        <v>0.13</v>
      </c>
      <c r="AR183" t="s">
        <v>226</v>
      </c>
    </row>
    <row r="184" hidden="1" spans="1:44">
      <c r="A184" t="s">
        <v>105</v>
      </c>
      <c r="B184" t="s">
        <v>18</v>
      </c>
      <c r="C184" s="209" t="s">
        <v>19</v>
      </c>
      <c r="D184" s="210">
        <v>71020121060805</v>
      </c>
      <c r="E184" s="211">
        <v>44363</v>
      </c>
      <c r="F184" t="s">
        <v>218</v>
      </c>
      <c r="G184" t="s">
        <v>219</v>
      </c>
      <c r="H184">
        <v>21</v>
      </c>
      <c r="I184" t="s">
        <v>167</v>
      </c>
      <c r="J184" t="s">
        <v>242</v>
      </c>
      <c r="K184" t="s">
        <v>221</v>
      </c>
      <c r="L184">
        <v>3000</v>
      </c>
      <c r="M184" s="211">
        <v>44383</v>
      </c>
      <c r="N184" s="211">
        <v>44414</v>
      </c>
      <c r="O184" s="212" t="s">
        <v>227</v>
      </c>
      <c r="P184" t="s">
        <v>222</v>
      </c>
      <c r="S184">
        <v>0</v>
      </c>
      <c r="T184">
        <v>0</v>
      </c>
      <c r="U184">
        <v>0</v>
      </c>
      <c r="V184">
        <v>0</v>
      </c>
      <c r="W184">
        <v>0</v>
      </c>
      <c r="X184" s="140">
        <v>3000</v>
      </c>
      <c r="Y184" s="209">
        <f t="shared" si="2"/>
        <v>3000</v>
      </c>
      <c r="Z184">
        <v>0</v>
      </c>
      <c r="AE184"/>
      <c r="AF184"/>
      <c r="AG184" t="s">
        <v>223</v>
      </c>
      <c r="AN184" t="s">
        <v>218</v>
      </c>
      <c r="AO184" t="s">
        <v>224</v>
      </c>
      <c r="AP184" t="s">
        <v>225</v>
      </c>
      <c r="AQ184">
        <v>0.13</v>
      </c>
      <c r="AR184" t="s">
        <v>226</v>
      </c>
    </row>
    <row r="185" hidden="1" spans="1:44">
      <c r="A185" t="s">
        <v>105</v>
      </c>
      <c r="B185" t="s">
        <v>18</v>
      </c>
      <c r="C185" s="209" t="s">
        <v>19</v>
      </c>
      <c r="D185" s="210">
        <v>71020121060805</v>
      </c>
      <c r="E185" s="211">
        <v>44363</v>
      </c>
      <c r="F185" t="s">
        <v>218</v>
      </c>
      <c r="G185" t="s">
        <v>219</v>
      </c>
      <c r="H185">
        <v>22</v>
      </c>
      <c r="I185" t="s">
        <v>167</v>
      </c>
      <c r="J185" t="s">
        <v>242</v>
      </c>
      <c r="K185" t="s">
        <v>221</v>
      </c>
      <c r="L185">
        <v>3000</v>
      </c>
      <c r="M185" s="211">
        <v>44382</v>
      </c>
      <c r="N185" s="211">
        <v>44413</v>
      </c>
      <c r="O185" s="212" t="s">
        <v>227</v>
      </c>
      <c r="P185" t="s">
        <v>222</v>
      </c>
      <c r="S185">
        <v>0</v>
      </c>
      <c r="T185">
        <v>0</v>
      </c>
      <c r="U185">
        <v>0</v>
      </c>
      <c r="V185">
        <v>0</v>
      </c>
      <c r="W185">
        <v>0</v>
      </c>
      <c r="X185" s="140">
        <v>3000</v>
      </c>
      <c r="Y185" s="209">
        <f t="shared" si="2"/>
        <v>3000</v>
      </c>
      <c r="Z185">
        <v>0</v>
      </c>
      <c r="AE185"/>
      <c r="AF185"/>
      <c r="AG185" t="s">
        <v>223</v>
      </c>
      <c r="AN185" t="s">
        <v>218</v>
      </c>
      <c r="AO185" t="s">
        <v>224</v>
      </c>
      <c r="AP185" t="s">
        <v>225</v>
      </c>
      <c r="AQ185">
        <v>0.13</v>
      </c>
      <c r="AR185" t="s">
        <v>226</v>
      </c>
    </row>
    <row r="186" hidden="1" spans="1:44">
      <c r="A186" t="s">
        <v>105</v>
      </c>
      <c r="B186" t="s">
        <v>18</v>
      </c>
      <c r="C186" s="209" t="s">
        <v>19</v>
      </c>
      <c r="D186" s="210">
        <v>71020121060805</v>
      </c>
      <c r="E186" s="211">
        <v>44363</v>
      </c>
      <c r="F186" t="s">
        <v>218</v>
      </c>
      <c r="G186" t="s">
        <v>219</v>
      </c>
      <c r="H186">
        <v>23</v>
      </c>
      <c r="I186" t="s">
        <v>167</v>
      </c>
      <c r="J186" t="s">
        <v>242</v>
      </c>
      <c r="K186" t="s">
        <v>221</v>
      </c>
      <c r="L186">
        <v>3000</v>
      </c>
      <c r="M186" s="211">
        <v>44381</v>
      </c>
      <c r="N186" s="211">
        <v>44412</v>
      </c>
      <c r="O186" s="212" t="s">
        <v>227</v>
      </c>
      <c r="P186" t="s">
        <v>222</v>
      </c>
      <c r="S186">
        <v>0</v>
      </c>
      <c r="T186">
        <v>0</v>
      </c>
      <c r="U186">
        <v>0</v>
      </c>
      <c r="V186">
        <v>0</v>
      </c>
      <c r="W186">
        <v>0</v>
      </c>
      <c r="X186" s="140">
        <v>3000</v>
      </c>
      <c r="Y186" s="209">
        <f t="shared" si="2"/>
        <v>3000</v>
      </c>
      <c r="Z186">
        <v>0</v>
      </c>
      <c r="AE186"/>
      <c r="AF186"/>
      <c r="AG186" t="s">
        <v>223</v>
      </c>
      <c r="AN186" t="s">
        <v>218</v>
      </c>
      <c r="AO186" t="s">
        <v>224</v>
      </c>
      <c r="AP186" t="s">
        <v>225</v>
      </c>
      <c r="AQ186">
        <v>0.13</v>
      </c>
      <c r="AR186" t="s">
        <v>226</v>
      </c>
    </row>
    <row r="187" hidden="1" spans="1:44">
      <c r="A187" t="s">
        <v>105</v>
      </c>
      <c r="B187" t="s">
        <v>18</v>
      </c>
      <c r="C187" s="209" t="s">
        <v>19</v>
      </c>
      <c r="D187" s="210">
        <v>71020121060805</v>
      </c>
      <c r="E187" s="211">
        <v>44363</v>
      </c>
      <c r="F187" t="s">
        <v>218</v>
      </c>
      <c r="G187" t="s">
        <v>219</v>
      </c>
      <c r="H187">
        <v>24</v>
      </c>
      <c r="I187" t="s">
        <v>167</v>
      </c>
      <c r="J187" t="s">
        <v>242</v>
      </c>
      <c r="K187" t="s">
        <v>221</v>
      </c>
      <c r="L187">
        <v>3000</v>
      </c>
      <c r="M187" s="211">
        <v>44380</v>
      </c>
      <c r="N187" s="211">
        <v>44411</v>
      </c>
      <c r="O187" s="212" t="s">
        <v>227</v>
      </c>
      <c r="P187" t="s">
        <v>222</v>
      </c>
      <c r="S187">
        <v>0</v>
      </c>
      <c r="T187">
        <v>0</v>
      </c>
      <c r="U187">
        <v>0</v>
      </c>
      <c r="V187">
        <v>0</v>
      </c>
      <c r="W187">
        <v>0</v>
      </c>
      <c r="X187" s="140">
        <v>3000</v>
      </c>
      <c r="Y187" s="209">
        <f t="shared" si="2"/>
        <v>3000</v>
      </c>
      <c r="Z187">
        <v>0</v>
      </c>
      <c r="AE187"/>
      <c r="AF187"/>
      <c r="AG187" t="s">
        <v>223</v>
      </c>
      <c r="AN187" t="s">
        <v>218</v>
      </c>
      <c r="AO187" t="s">
        <v>224</v>
      </c>
      <c r="AP187" t="s">
        <v>225</v>
      </c>
      <c r="AQ187">
        <v>0.13</v>
      </c>
      <c r="AR187" t="s">
        <v>226</v>
      </c>
    </row>
    <row r="188" hidden="1" spans="1:44">
      <c r="A188" t="s">
        <v>105</v>
      </c>
      <c r="B188" t="s">
        <v>18</v>
      </c>
      <c r="C188" s="209" t="s">
        <v>19</v>
      </c>
      <c r="D188" s="210">
        <v>71020121060805</v>
      </c>
      <c r="E188" s="211">
        <v>44363</v>
      </c>
      <c r="F188" t="s">
        <v>218</v>
      </c>
      <c r="G188" t="s">
        <v>219</v>
      </c>
      <c r="H188">
        <v>25</v>
      </c>
      <c r="I188" t="s">
        <v>167</v>
      </c>
      <c r="J188" t="s">
        <v>242</v>
      </c>
      <c r="K188" t="s">
        <v>221</v>
      </c>
      <c r="L188">
        <v>3000</v>
      </c>
      <c r="M188" s="211">
        <v>44379</v>
      </c>
      <c r="N188" s="211">
        <v>44410</v>
      </c>
      <c r="O188" s="212" t="s">
        <v>227</v>
      </c>
      <c r="P188" t="s">
        <v>222</v>
      </c>
      <c r="S188">
        <v>0</v>
      </c>
      <c r="T188">
        <v>0</v>
      </c>
      <c r="U188">
        <v>0</v>
      </c>
      <c r="V188">
        <v>0</v>
      </c>
      <c r="W188">
        <v>0</v>
      </c>
      <c r="X188" s="140">
        <v>3000</v>
      </c>
      <c r="Y188" s="209">
        <f t="shared" si="2"/>
        <v>3000</v>
      </c>
      <c r="Z188">
        <v>0</v>
      </c>
      <c r="AE188"/>
      <c r="AF188"/>
      <c r="AG188" t="s">
        <v>223</v>
      </c>
      <c r="AN188" t="s">
        <v>218</v>
      </c>
      <c r="AO188" t="s">
        <v>224</v>
      </c>
      <c r="AP188" t="s">
        <v>225</v>
      </c>
      <c r="AQ188">
        <v>0.13</v>
      </c>
      <c r="AR188" t="s">
        <v>226</v>
      </c>
    </row>
    <row r="189" hidden="1" spans="1:44">
      <c r="A189" t="s">
        <v>105</v>
      </c>
      <c r="B189" t="s">
        <v>18</v>
      </c>
      <c r="C189" s="209" t="s">
        <v>19</v>
      </c>
      <c r="D189" s="210">
        <v>71020121060805</v>
      </c>
      <c r="E189" s="211">
        <v>44363</v>
      </c>
      <c r="F189" t="s">
        <v>218</v>
      </c>
      <c r="G189" t="s">
        <v>219</v>
      </c>
      <c r="H189">
        <v>26</v>
      </c>
      <c r="I189" t="s">
        <v>167</v>
      </c>
      <c r="J189" t="s">
        <v>242</v>
      </c>
      <c r="K189" t="s">
        <v>221</v>
      </c>
      <c r="L189">
        <v>3000</v>
      </c>
      <c r="M189" s="211">
        <v>44378</v>
      </c>
      <c r="N189" s="211">
        <v>44409</v>
      </c>
      <c r="O189" s="212" t="s">
        <v>227</v>
      </c>
      <c r="P189" t="s">
        <v>222</v>
      </c>
      <c r="S189">
        <v>0</v>
      </c>
      <c r="T189">
        <v>0</v>
      </c>
      <c r="U189">
        <v>0</v>
      </c>
      <c r="V189">
        <v>0</v>
      </c>
      <c r="W189">
        <v>0</v>
      </c>
      <c r="X189" s="140">
        <v>3000</v>
      </c>
      <c r="Y189" s="209">
        <f t="shared" si="2"/>
        <v>3000</v>
      </c>
      <c r="Z189">
        <v>0</v>
      </c>
      <c r="AE189"/>
      <c r="AF189"/>
      <c r="AG189" t="s">
        <v>223</v>
      </c>
      <c r="AN189" t="s">
        <v>218</v>
      </c>
      <c r="AO189" t="s">
        <v>224</v>
      </c>
      <c r="AP189" t="s">
        <v>225</v>
      </c>
      <c r="AQ189">
        <v>0.13</v>
      </c>
      <c r="AR189" t="s">
        <v>226</v>
      </c>
    </row>
    <row r="190" hidden="1" spans="1:44">
      <c r="A190" t="s">
        <v>105</v>
      </c>
      <c r="B190" t="s">
        <v>18</v>
      </c>
      <c r="C190" s="209" t="s">
        <v>19</v>
      </c>
      <c r="D190" s="210">
        <v>71020121060805</v>
      </c>
      <c r="E190" s="211">
        <v>44363</v>
      </c>
      <c r="F190" t="s">
        <v>218</v>
      </c>
      <c r="G190" t="s">
        <v>219</v>
      </c>
      <c r="H190">
        <v>27</v>
      </c>
      <c r="I190" t="s">
        <v>167</v>
      </c>
      <c r="J190" t="s">
        <v>242</v>
      </c>
      <c r="K190" t="s">
        <v>221</v>
      </c>
      <c r="L190">
        <v>3000</v>
      </c>
      <c r="M190" s="211">
        <v>44377</v>
      </c>
      <c r="N190" s="211">
        <v>44407</v>
      </c>
      <c r="O190" s="212" t="s">
        <v>60</v>
      </c>
      <c r="P190" t="s">
        <v>222</v>
      </c>
      <c r="S190">
        <v>0</v>
      </c>
      <c r="T190">
        <v>0</v>
      </c>
      <c r="U190">
        <v>0</v>
      </c>
      <c r="V190">
        <v>0</v>
      </c>
      <c r="W190">
        <v>0</v>
      </c>
      <c r="X190" s="140">
        <v>3000</v>
      </c>
      <c r="Y190" s="209">
        <f t="shared" si="2"/>
        <v>3000</v>
      </c>
      <c r="Z190">
        <v>0</v>
      </c>
      <c r="AE190"/>
      <c r="AF190"/>
      <c r="AG190" t="s">
        <v>223</v>
      </c>
      <c r="AN190" t="s">
        <v>218</v>
      </c>
      <c r="AO190" t="s">
        <v>224</v>
      </c>
      <c r="AP190" t="s">
        <v>225</v>
      </c>
      <c r="AQ190">
        <v>0.13</v>
      </c>
      <c r="AR190" t="s">
        <v>226</v>
      </c>
    </row>
    <row r="191" hidden="1" spans="1:44">
      <c r="A191" t="s">
        <v>105</v>
      </c>
      <c r="B191" t="s">
        <v>18</v>
      </c>
      <c r="C191" s="209" t="s">
        <v>19</v>
      </c>
      <c r="D191" s="210">
        <v>71020121060805</v>
      </c>
      <c r="E191" s="211">
        <v>44363</v>
      </c>
      <c r="F191" t="s">
        <v>218</v>
      </c>
      <c r="G191" t="s">
        <v>219</v>
      </c>
      <c r="H191">
        <v>28</v>
      </c>
      <c r="I191" t="s">
        <v>167</v>
      </c>
      <c r="J191" t="s">
        <v>242</v>
      </c>
      <c r="K191" t="s">
        <v>221</v>
      </c>
      <c r="L191">
        <v>3000</v>
      </c>
      <c r="M191" s="211">
        <v>44376</v>
      </c>
      <c r="N191" s="211">
        <v>44406</v>
      </c>
      <c r="O191" s="212" t="s">
        <v>60</v>
      </c>
      <c r="P191" t="s">
        <v>222</v>
      </c>
      <c r="S191">
        <v>0</v>
      </c>
      <c r="T191">
        <v>0</v>
      </c>
      <c r="U191">
        <v>0</v>
      </c>
      <c r="V191">
        <v>0</v>
      </c>
      <c r="W191">
        <v>0</v>
      </c>
      <c r="X191" s="140">
        <v>3000</v>
      </c>
      <c r="Y191" s="209">
        <f t="shared" si="2"/>
        <v>3000</v>
      </c>
      <c r="Z191">
        <v>0</v>
      </c>
      <c r="AE191"/>
      <c r="AF191"/>
      <c r="AG191" t="s">
        <v>223</v>
      </c>
      <c r="AN191" t="s">
        <v>218</v>
      </c>
      <c r="AO191" t="s">
        <v>224</v>
      </c>
      <c r="AP191" t="s">
        <v>225</v>
      </c>
      <c r="AQ191">
        <v>0.13</v>
      </c>
      <c r="AR191" t="s">
        <v>226</v>
      </c>
    </row>
    <row r="192" hidden="1" spans="1:44">
      <c r="A192" t="s">
        <v>105</v>
      </c>
      <c r="B192" t="s">
        <v>18</v>
      </c>
      <c r="C192" s="209" t="s">
        <v>19</v>
      </c>
      <c r="D192" s="210">
        <v>71020121060805</v>
      </c>
      <c r="E192" s="211">
        <v>44363</v>
      </c>
      <c r="F192" t="s">
        <v>218</v>
      </c>
      <c r="G192" t="s">
        <v>219</v>
      </c>
      <c r="H192">
        <v>29</v>
      </c>
      <c r="I192" t="s">
        <v>167</v>
      </c>
      <c r="J192" t="s">
        <v>242</v>
      </c>
      <c r="K192" t="s">
        <v>221</v>
      </c>
      <c r="L192">
        <v>3000</v>
      </c>
      <c r="M192" s="211">
        <v>44375</v>
      </c>
      <c r="N192" s="211">
        <v>44405</v>
      </c>
      <c r="O192" s="212" t="s">
        <v>60</v>
      </c>
      <c r="P192" t="s">
        <v>222</v>
      </c>
      <c r="S192">
        <v>0</v>
      </c>
      <c r="T192">
        <v>0</v>
      </c>
      <c r="U192">
        <v>0</v>
      </c>
      <c r="V192">
        <v>0</v>
      </c>
      <c r="W192">
        <v>0</v>
      </c>
      <c r="X192" s="140">
        <v>3000</v>
      </c>
      <c r="Y192" s="209">
        <f t="shared" si="2"/>
        <v>3000</v>
      </c>
      <c r="Z192">
        <v>0</v>
      </c>
      <c r="AE192"/>
      <c r="AF192"/>
      <c r="AG192" t="s">
        <v>223</v>
      </c>
      <c r="AN192" t="s">
        <v>218</v>
      </c>
      <c r="AO192" t="s">
        <v>224</v>
      </c>
      <c r="AP192" t="s">
        <v>225</v>
      </c>
      <c r="AQ192">
        <v>0.13</v>
      </c>
      <c r="AR192" t="s">
        <v>226</v>
      </c>
    </row>
    <row r="193" hidden="1" spans="1:44">
      <c r="A193" t="s">
        <v>105</v>
      </c>
      <c r="B193" t="s">
        <v>18</v>
      </c>
      <c r="C193" s="209" t="s">
        <v>19</v>
      </c>
      <c r="D193" s="210">
        <v>71020121060805</v>
      </c>
      <c r="E193" s="211">
        <v>44363</v>
      </c>
      <c r="F193" t="s">
        <v>218</v>
      </c>
      <c r="G193" t="s">
        <v>219</v>
      </c>
      <c r="H193">
        <v>30</v>
      </c>
      <c r="I193" t="s">
        <v>167</v>
      </c>
      <c r="J193" t="s">
        <v>242</v>
      </c>
      <c r="K193" t="s">
        <v>221</v>
      </c>
      <c r="L193">
        <v>3000</v>
      </c>
      <c r="M193" s="211">
        <v>44374</v>
      </c>
      <c r="N193" s="211">
        <v>44404</v>
      </c>
      <c r="O193" s="212" t="s">
        <v>60</v>
      </c>
      <c r="P193" t="s">
        <v>222</v>
      </c>
      <c r="S193">
        <v>0</v>
      </c>
      <c r="T193">
        <v>0</v>
      </c>
      <c r="U193">
        <v>0</v>
      </c>
      <c r="V193">
        <v>0</v>
      </c>
      <c r="W193">
        <v>0</v>
      </c>
      <c r="X193" s="140">
        <v>3000</v>
      </c>
      <c r="Y193" s="209">
        <f t="shared" si="2"/>
        <v>3000</v>
      </c>
      <c r="Z193">
        <v>0</v>
      </c>
      <c r="AE193"/>
      <c r="AF193"/>
      <c r="AG193" t="s">
        <v>223</v>
      </c>
      <c r="AN193" t="s">
        <v>218</v>
      </c>
      <c r="AO193" t="s">
        <v>224</v>
      </c>
      <c r="AP193" t="s">
        <v>225</v>
      </c>
      <c r="AQ193">
        <v>0.13</v>
      </c>
      <c r="AR193" t="s">
        <v>226</v>
      </c>
    </row>
    <row r="194" hidden="1" spans="1:44">
      <c r="A194" t="s">
        <v>105</v>
      </c>
      <c r="B194" t="s">
        <v>18</v>
      </c>
      <c r="C194" s="209" t="s">
        <v>19</v>
      </c>
      <c r="D194" s="210">
        <v>71020121060805</v>
      </c>
      <c r="E194" s="211">
        <v>44363</v>
      </c>
      <c r="F194" t="s">
        <v>218</v>
      </c>
      <c r="G194" t="s">
        <v>219</v>
      </c>
      <c r="H194">
        <v>31</v>
      </c>
      <c r="I194" t="s">
        <v>167</v>
      </c>
      <c r="J194" t="s">
        <v>242</v>
      </c>
      <c r="K194" t="s">
        <v>221</v>
      </c>
      <c r="L194">
        <v>3000</v>
      </c>
      <c r="M194" s="211">
        <v>44373</v>
      </c>
      <c r="N194" s="211">
        <v>44403</v>
      </c>
      <c r="O194" s="212" t="s">
        <v>60</v>
      </c>
      <c r="P194" t="s">
        <v>222</v>
      </c>
      <c r="S194">
        <v>0</v>
      </c>
      <c r="T194">
        <v>0</v>
      </c>
      <c r="U194">
        <v>0</v>
      </c>
      <c r="V194">
        <v>0</v>
      </c>
      <c r="W194">
        <v>0</v>
      </c>
      <c r="X194" s="140">
        <v>3000</v>
      </c>
      <c r="Y194" s="209">
        <f t="shared" si="2"/>
        <v>3000</v>
      </c>
      <c r="Z194">
        <v>0</v>
      </c>
      <c r="AE194"/>
      <c r="AF194"/>
      <c r="AG194" t="s">
        <v>223</v>
      </c>
      <c r="AN194" t="s">
        <v>218</v>
      </c>
      <c r="AO194" t="s">
        <v>224</v>
      </c>
      <c r="AP194" t="s">
        <v>225</v>
      </c>
      <c r="AQ194">
        <v>0.13</v>
      </c>
      <c r="AR194" t="s">
        <v>226</v>
      </c>
    </row>
    <row r="195" hidden="1" spans="1:44">
      <c r="A195" t="s">
        <v>105</v>
      </c>
      <c r="B195" t="s">
        <v>18</v>
      </c>
      <c r="C195" s="209" t="s">
        <v>19</v>
      </c>
      <c r="D195" s="210">
        <v>71020121060805</v>
      </c>
      <c r="E195" s="211">
        <v>44363</v>
      </c>
      <c r="F195" t="s">
        <v>218</v>
      </c>
      <c r="G195" t="s">
        <v>219</v>
      </c>
      <c r="H195">
        <v>32</v>
      </c>
      <c r="I195" t="s">
        <v>167</v>
      </c>
      <c r="J195" t="s">
        <v>242</v>
      </c>
      <c r="K195" t="s">
        <v>221</v>
      </c>
      <c r="L195">
        <v>3000</v>
      </c>
      <c r="M195" s="211">
        <v>44372</v>
      </c>
      <c r="N195" s="211">
        <v>44402</v>
      </c>
      <c r="O195" s="212" t="s">
        <v>60</v>
      </c>
      <c r="P195" t="s">
        <v>222</v>
      </c>
      <c r="S195">
        <v>0</v>
      </c>
      <c r="T195">
        <v>0</v>
      </c>
      <c r="U195">
        <v>0</v>
      </c>
      <c r="V195">
        <v>0</v>
      </c>
      <c r="W195">
        <v>0</v>
      </c>
      <c r="X195" s="140">
        <v>3000</v>
      </c>
      <c r="Y195" s="209">
        <f t="shared" ref="Y195:Y258" si="3">L195-S195</f>
        <v>3000</v>
      </c>
      <c r="Z195">
        <v>0</v>
      </c>
      <c r="AE195"/>
      <c r="AF195"/>
      <c r="AG195" t="s">
        <v>223</v>
      </c>
      <c r="AN195" t="s">
        <v>218</v>
      </c>
      <c r="AO195" t="s">
        <v>224</v>
      </c>
      <c r="AP195" t="s">
        <v>225</v>
      </c>
      <c r="AQ195">
        <v>0.13</v>
      </c>
      <c r="AR195" t="s">
        <v>226</v>
      </c>
    </row>
    <row r="196" hidden="1" spans="1:44">
      <c r="A196" t="s">
        <v>105</v>
      </c>
      <c r="B196" t="s">
        <v>18</v>
      </c>
      <c r="C196" s="209" t="s">
        <v>19</v>
      </c>
      <c r="D196" s="210">
        <v>71020121060805</v>
      </c>
      <c r="E196" s="211">
        <v>44363</v>
      </c>
      <c r="F196" t="s">
        <v>218</v>
      </c>
      <c r="G196" t="s">
        <v>219</v>
      </c>
      <c r="H196">
        <v>33</v>
      </c>
      <c r="I196" t="s">
        <v>167</v>
      </c>
      <c r="J196" t="s">
        <v>242</v>
      </c>
      <c r="K196" t="s">
        <v>221</v>
      </c>
      <c r="L196">
        <v>3000</v>
      </c>
      <c r="M196" s="211">
        <v>44371</v>
      </c>
      <c r="N196" s="211">
        <v>44401</v>
      </c>
      <c r="O196" s="212" t="s">
        <v>60</v>
      </c>
      <c r="P196" t="s">
        <v>222</v>
      </c>
      <c r="S196">
        <v>0</v>
      </c>
      <c r="T196">
        <v>0</v>
      </c>
      <c r="U196">
        <v>0</v>
      </c>
      <c r="V196">
        <v>0</v>
      </c>
      <c r="W196">
        <v>0</v>
      </c>
      <c r="X196" s="140">
        <v>3000</v>
      </c>
      <c r="Y196" s="209">
        <f t="shared" si="3"/>
        <v>3000</v>
      </c>
      <c r="Z196">
        <v>0</v>
      </c>
      <c r="AE196"/>
      <c r="AF196"/>
      <c r="AG196" t="s">
        <v>223</v>
      </c>
      <c r="AN196" t="s">
        <v>218</v>
      </c>
      <c r="AO196" t="s">
        <v>224</v>
      </c>
      <c r="AP196" t="s">
        <v>225</v>
      </c>
      <c r="AQ196">
        <v>0.13</v>
      </c>
      <c r="AR196" t="s">
        <v>226</v>
      </c>
    </row>
    <row r="197" hidden="1" spans="1:44">
      <c r="A197" t="s">
        <v>105</v>
      </c>
      <c r="B197" t="s">
        <v>18</v>
      </c>
      <c r="C197" s="209" t="s">
        <v>19</v>
      </c>
      <c r="D197" s="210">
        <v>71020121060805</v>
      </c>
      <c r="E197" s="211">
        <v>44363</v>
      </c>
      <c r="F197" t="s">
        <v>218</v>
      </c>
      <c r="G197" t="s">
        <v>219</v>
      </c>
      <c r="H197">
        <v>34</v>
      </c>
      <c r="I197" t="s">
        <v>167</v>
      </c>
      <c r="J197" t="s">
        <v>242</v>
      </c>
      <c r="K197" t="s">
        <v>221</v>
      </c>
      <c r="L197">
        <v>3000</v>
      </c>
      <c r="M197" s="211">
        <v>44370</v>
      </c>
      <c r="N197" s="211">
        <v>44400</v>
      </c>
      <c r="O197" s="212" t="s">
        <v>60</v>
      </c>
      <c r="P197" t="s">
        <v>222</v>
      </c>
      <c r="S197">
        <v>0</v>
      </c>
      <c r="T197">
        <v>0</v>
      </c>
      <c r="U197">
        <v>0</v>
      </c>
      <c r="V197">
        <v>0</v>
      </c>
      <c r="W197">
        <v>0</v>
      </c>
      <c r="X197" s="140">
        <v>3000</v>
      </c>
      <c r="Y197" s="209">
        <f t="shared" si="3"/>
        <v>3000</v>
      </c>
      <c r="Z197">
        <v>0</v>
      </c>
      <c r="AE197"/>
      <c r="AF197"/>
      <c r="AG197" t="s">
        <v>223</v>
      </c>
      <c r="AN197" t="s">
        <v>218</v>
      </c>
      <c r="AO197" t="s">
        <v>224</v>
      </c>
      <c r="AP197" t="s">
        <v>225</v>
      </c>
      <c r="AQ197">
        <v>0.13</v>
      </c>
      <c r="AR197" t="s">
        <v>226</v>
      </c>
    </row>
    <row r="198" hidden="1" spans="1:44">
      <c r="A198" t="s">
        <v>105</v>
      </c>
      <c r="B198" t="s">
        <v>18</v>
      </c>
      <c r="C198" s="209" t="s">
        <v>19</v>
      </c>
      <c r="D198" s="210">
        <v>71020121060805</v>
      </c>
      <c r="E198" s="211">
        <v>44363</v>
      </c>
      <c r="F198" t="s">
        <v>218</v>
      </c>
      <c r="G198" t="s">
        <v>219</v>
      </c>
      <c r="H198">
        <v>35</v>
      </c>
      <c r="I198" t="s">
        <v>167</v>
      </c>
      <c r="J198" t="s">
        <v>242</v>
      </c>
      <c r="K198" t="s">
        <v>221</v>
      </c>
      <c r="L198">
        <v>3000</v>
      </c>
      <c r="M198" s="211">
        <v>44369</v>
      </c>
      <c r="N198" s="211">
        <v>44399</v>
      </c>
      <c r="O198" s="212" t="s">
        <v>60</v>
      </c>
      <c r="P198" t="s">
        <v>222</v>
      </c>
      <c r="S198">
        <v>0</v>
      </c>
      <c r="T198">
        <v>0</v>
      </c>
      <c r="U198">
        <v>0</v>
      </c>
      <c r="V198">
        <v>0</v>
      </c>
      <c r="W198">
        <v>0</v>
      </c>
      <c r="X198" s="140">
        <v>3000</v>
      </c>
      <c r="Y198" s="209">
        <f t="shared" si="3"/>
        <v>3000</v>
      </c>
      <c r="Z198">
        <v>0</v>
      </c>
      <c r="AE198"/>
      <c r="AF198"/>
      <c r="AG198" t="s">
        <v>223</v>
      </c>
      <c r="AN198" t="s">
        <v>218</v>
      </c>
      <c r="AO198" t="s">
        <v>224</v>
      </c>
      <c r="AP198" t="s">
        <v>225</v>
      </c>
      <c r="AQ198">
        <v>0.13</v>
      </c>
      <c r="AR198" t="s">
        <v>226</v>
      </c>
    </row>
    <row r="199" hidden="1" spans="1:44">
      <c r="A199" t="s">
        <v>105</v>
      </c>
      <c r="B199" t="s">
        <v>18</v>
      </c>
      <c r="C199" s="209" t="s">
        <v>19</v>
      </c>
      <c r="D199" s="210">
        <v>71020121060805</v>
      </c>
      <c r="E199" s="211">
        <v>44363</v>
      </c>
      <c r="F199" t="s">
        <v>218</v>
      </c>
      <c r="G199" t="s">
        <v>219</v>
      </c>
      <c r="H199">
        <v>36</v>
      </c>
      <c r="I199" t="s">
        <v>167</v>
      </c>
      <c r="J199" t="s">
        <v>242</v>
      </c>
      <c r="K199" t="s">
        <v>221</v>
      </c>
      <c r="L199">
        <v>3000</v>
      </c>
      <c r="M199" s="211">
        <v>44368</v>
      </c>
      <c r="N199" s="211">
        <v>44398</v>
      </c>
      <c r="O199" s="212" t="s">
        <v>60</v>
      </c>
      <c r="P199" t="s">
        <v>222</v>
      </c>
      <c r="S199">
        <v>0</v>
      </c>
      <c r="T199">
        <v>0</v>
      </c>
      <c r="U199">
        <v>0</v>
      </c>
      <c r="V199">
        <v>0</v>
      </c>
      <c r="W199">
        <v>0</v>
      </c>
      <c r="X199" s="140">
        <v>3000</v>
      </c>
      <c r="Y199" s="209">
        <f t="shared" si="3"/>
        <v>3000</v>
      </c>
      <c r="Z199">
        <v>0</v>
      </c>
      <c r="AE199"/>
      <c r="AF199"/>
      <c r="AG199" t="s">
        <v>223</v>
      </c>
      <c r="AN199" t="s">
        <v>218</v>
      </c>
      <c r="AO199" t="s">
        <v>224</v>
      </c>
      <c r="AP199" t="s">
        <v>225</v>
      </c>
      <c r="AQ199">
        <v>0.13</v>
      </c>
      <c r="AR199" t="s">
        <v>226</v>
      </c>
    </row>
    <row r="200" hidden="1" spans="1:44">
      <c r="A200" t="s">
        <v>105</v>
      </c>
      <c r="B200" t="s">
        <v>18</v>
      </c>
      <c r="C200" s="209" t="s">
        <v>19</v>
      </c>
      <c r="D200" s="210">
        <v>71020121060805</v>
      </c>
      <c r="E200" s="211">
        <v>44363</v>
      </c>
      <c r="F200" t="s">
        <v>218</v>
      </c>
      <c r="G200" t="s">
        <v>219</v>
      </c>
      <c r="H200">
        <v>37</v>
      </c>
      <c r="I200" t="s">
        <v>167</v>
      </c>
      <c r="J200" t="s">
        <v>242</v>
      </c>
      <c r="K200" t="s">
        <v>221</v>
      </c>
      <c r="L200">
        <v>3000</v>
      </c>
      <c r="M200" s="211">
        <v>44367</v>
      </c>
      <c r="N200" s="211">
        <v>44397</v>
      </c>
      <c r="O200" s="212" t="s">
        <v>60</v>
      </c>
      <c r="P200" t="s">
        <v>222</v>
      </c>
      <c r="S200">
        <v>0</v>
      </c>
      <c r="T200">
        <v>0</v>
      </c>
      <c r="U200">
        <v>0</v>
      </c>
      <c r="V200">
        <v>0</v>
      </c>
      <c r="W200">
        <v>0</v>
      </c>
      <c r="X200" s="140">
        <v>3000</v>
      </c>
      <c r="Y200" s="209">
        <f t="shared" si="3"/>
        <v>3000</v>
      </c>
      <c r="Z200">
        <v>0</v>
      </c>
      <c r="AE200"/>
      <c r="AF200"/>
      <c r="AG200" t="s">
        <v>223</v>
      </c>
      <c r="AN200" t="s">
        <v>218</v>
      </c>
      <c r="AO200" t="s">
        <v>224</v>
      </c>
      <c r="AP200" t="s">
        <v>225</v>
      </c>
      <c r="AQ200">
        <v>0.13</v>
      </c>
      <c r="AR200" t="s">
        <v>226</v>
      </c>
    </row>
    <row r="201" hidden="1" spans="1:44">
      <c r="A201" t="s">
        <v>105</v>
      </c>
      <c r="B201" t="s">
        <v>18</v>
      </c>
      <c r="C201" s="209" t="s">
        <v>19</v>
      </c>
      <c r="D201" s="210">
        <v>71020121060805</v>
      </c>
      <c r="E201" s="211">
        <v>44363</v>
      </c>
      <c r="F201" t="s">
        <v>218</v>
      </c>
      <c r="G201" t="s">
        <v>219</v>
      </c>
      <c r="H201">
        <v>38</v>
      </c>
      <c r="I201" t="s">
        <v>167</v>
      </c>
      <c r="J201" t="s">
        <v>242</v>
      </c>
      <c r="K201" t="s">
        <v>221</v>
      </c>
      <c r="L201">
        <v>3500</v>
      </c>
      <c r="M201" s="211">
        <v>44366</v>
      </c>
      <c r="N201" s="211">
        <v>44396</v>
      </c>
      <c r="O201" s="212" t="s">
        <v>60</v>
      </c>
      <c r="P201" t="s">
        <v>222</v>
      </c>
      <c r="S201">
        <v>0</v>
      </c>
      <c r="T201">
        <v>0</v>
      </c>
      <c r="U201">
        <v>0</v>
      </c>
      <c r="V201">
        <v>0</v>
      </c>
      <c r="W201">
        <v>0</v>
      </c>
      <c r="X201" s="140">
        <v>3500</v>
      </c>
      <c r="Y201" s="209">
        <f t="shared" si="3"/>
        <v>3500</v>
      </c>
      <c r="Z201">
        <v>0</v>
      </c>
      <c r="AE201"/>
      <c r="AF201"/>
      <c r="AG201" t="s">
        <v>223</v>
      </c>
      <c r="AN201" t="s">
        <v>218</v>
      </c>
      <c r="AO201" t="s">
        <v>224</v>
      </c>
      <c r="AP201" t="s">
        <v>225</v>
      </c>
      <c r="AQ201">
        <v>0.13</v>
      </c>
      <c r="AR201" t="s">
        <v>226</v>
      </c>
    </row>
    <row r="202" hidden="1" spans="1:44">
      <c r="A202" s="214" t="s">
        <v>105</v>
      </c>
      <c r="B202" s="214" t="s">
        <v>18</v>
      </c>
      <c r="C202" s="215" t="s">
        <v>19</v>
      </c>
      <c r="D202" s="216">
        <v>71020121060805</v>
      </c>
      <c r="E202" s="217">
        <v>44363</v>
      </c>
      <c r="F202" s="214" t="s">
        <v>218</v>
      </c>
      <c r="G202" s="214" t="s">
        <v>219</v>
      </c>
      <c r="H202" s="214">
        <v>44</v>
      </c>
      <c r="I202" s="214" t="s">
        <v>168</v>
      </c>
      <c r="J202" s="214" t="s">
        <v>220</v>
      </c>
      <c r="K202" s="214" t="s">
        <v>221</v>
      </c>
      <c r="L202" s="214">
        <v>6400</v>
      </c>
      <c r="M202" s="217">
        <v>44397</v>
      </c>
      <c r="N202" s="217">
        <v>44397</v>
      </c>
      <c r="O202" s="218" t="s">
        <v>60</v>
      </c>
      <c r="P202" s="214" t="s">
        <v>222</v>
      </c>
      <c r="S202" s="214">
        <v>0</v>
      </c>
      <c r="T202" s="214">
        <v>0</v>
      </c>
      <c r="U202" s="214">
        <v>0</v>
      </c>
      <c r="V202" s="214">
        <v>0</v>
      </c>
      <c r="W202" s="214">
        <v>0</v>
      </c>
      <c r="X202" s="137">
        <v>6400</v>
      </c>
      <c r="Y202" s="215">
        <f t="shared" si="3"/>
        <v>6400</v>
      </c>
      <c r="Z202" s="214">
        <v>0</v>
      </c>
      <c r="AE202" s="214"/>
      <c r="AF202" s="214"/>
      <c r="AG202" s="214" t="s">
        <v>223</v>
      </c>
      <c r="AN202" s="214" t="s">
        <v>218</v>
      </c>
      <c r="AO202" s="214" t="s">
        <v>224</v>
      </c>
      <c r="AP202" s="214" t="s">
        <v>225</v>
      </c>
      <c r="AQ202" s="214">
        <v>0.13</v>
      </c>
      <c r="AR202" s="214" t="s">
        <v>226</v>
      </c>
    </row>
    <row r="203" hidden="1" spans="1:44">
      <c r="A203" s="214" t="s">
        <v>105</v>
      </c>
      <c r="B203" s="214" t="s">
        <v>18</v>
      </c>
      <c r="C203" s="215" t="s">
        <v>19</v>
      </c>
      <c r="D203" s="216">
        <v>71020121060805</v>
      </c>
      <c r="E203" s="217">
        <v>44363</v>
      </c>
      <c r="F203" s="214" t="s">
        <v>218</v>
      </c>
      <c r="G203" s="214" t="s">
        <v>219</v>
      </c>
      <c r="H203" s="214">
        <v>43</v>
      </c>
      <c r="I203" s="214" t="s">
        <v>168</v>
      </c>
      <c r="J203" s="214" t="s">
        <v>220</v>
      </c>
      <c r="K203" s="214" t="s">
        <v>221</v>
      </c>
      <c r="L203" s="214">
        <v>6400</v>
      </c>
      <c r="M203" s="217">
        <v>44404</v>
      </c>
      <c r="N203" s="217">
        <v>44404</v>
      </c>
      <c r="O203" s="218" t="s">
        <v>60</v>
      </c>
      <c r="P203" s="214" t="s">
        <v>222</v>
      </c>
      <c r="S203" s="214">
        <v>0</v>
      </c>
      <c r="T203" s="214">
        <v>0</v>
      </c>
      <c r="U203" s="214">
        <v>0</v>
      </c>
      <c r="V203" s="214">
        <v>0</v>
      </c>
      <c r="W203" s="214">
        <v>0</v>
      </c>
      <c r="X203" s="137">
        <v>6400</v>
      </c>
      <c r="Y203" s="215">
        <f t="shared" si="3"/>
        <v>6400</v>
      </c>
      <c r="Z203" s="214">
        <v>0</v>
      </c>
      <c r="AE203" s="214"/>
      <c r="AF203" s="214"/>
      <c r="AG203" s="214" t="s">
        <v>223</v>
      </c>
      <c r="AN203" s="214" t="s">
        <v>218</v>
      </c>
      <c r="AO203" s="214" t="s">
        <v>224</v>
      </c>
      <c r="AP203" s="214" t="s">
        <v>225</v>
      </c>
      <c r="AQ203" s="214">
        <v>0.13</v>
      </c>
      <c r="AR203" s="214" t="s">
        <v>226</v>
      </c>
    </row>
    <row r="204" hidden="1" spans="1:44">
      <c r="A204" s="214" t="s">
        <v>105</v>
      </c>
      <c r="B204" s="214" t="s">
        <v>18</v>
      </c>
      <c r="C204" s="215" t="s">
        <v>19</v>
      </c>
      <c r="D204" s="216">
        <v>71020121060805</v>
      </c>
      <c r="E204" s="217">
        <v>44363</v>
      </c>
      <c r="F204" s="214" t="s">
        <v>218</v>
      </c>
      <c r="G204" s="214" t="s">
        <v>219</v>
      </c>
      <c r="H204" s="214">
        <v>42</v>
      </c>
      <c r="I204" s="214" t="s">
        <v>168</v>
      </c>
      <c r="J204" s="214" t="s">
        <v>220</v>
      </c>
      <c r="K204" s="214" t="s">
        <v>221</v>
      </c>
      <c r="L204" s="214">
        <v>6400</v>
      </c>
      <c r="M204" s="217">
        <v>44411</v>
      </c>
      <c r="N204" s="217">
        <v>44411</v>
      </c>
      <c r="O204" s="218" t="s">
        <v>227</v>
      </c>
      <c r="P204" s="214" t="s">
        <v>222</v>
      </c>
      <c r="S204" s="214">
        <v>0</v>
      </c>
      <c r="T204" s="214">
        <v>0</v>
      </c>
      <c r="U204" s="214">
        <v>0</v>
      </c>
      <c r="V204" s="214">
        <v>0</v>
      </c>
      <c r="W204" s="214">
        <v>0</v>
      </c>
      <c r="X204" s="137">
        <v>6400</v>
      </c>
      <c r="Y204" s="215">
        <f t="shared" si="3"/>
        <v>6400</v>
      </c>
      <c r="Z204" s="214">
        <v>0</v>
      </c>
      <c r="AE204" s="214"/>
      <c r="AF204" s="214"/>
      <c r="AG204" s="214" t="s">
        <v>223</v>
      </c>
      <c r="AN204" s="214" t="s">
        <v>218</v>
      </c>
      <c r="AO204" s="214" t="s">
        <v>224</v>
      </c>
      <c r="AP204" s="214" t="s">
        <v>225</v>
      </c>
      <c r="AQ204" s="214">
        <v>0.13</v>
      </c>
      <c r="AR204" s="214" t="s">
        <v>226</v>
      </c>
    </row>
    <row r="205" hidden="1" spans="1:44">
      <c r="A205" s="214" t="s">
        <v>105</v>
      </c>
      <c r="B205" s="214" t="s">
        <v>18</v>
      </c>
      <c r="C205" s="215" t="s">
        <v>19</v>
      </c>
      <c r="D205" s="216">
        <v>71020121060805</v>
      </c>
      <c r="E205" s="217">
        <v>44363</v>
      </c>
      <c r="F205" s="214" t="s">
        <v>218</v>
      </c>
      <c r="G205" s="214" t="s">
        <v>219</v>
      </c>
      <c r="H205" s="214">
        <v>41</v>
      </c>
      <c r="I205" s="214" t="s">
        <v>168</v>
      </c>
      <c r="J205" s="214" t="s">
        <v>220</v>
      </c>
      <c r="K205" s="214" t="s">
        <v>221</v>
      </c>
      <c r="L205" s="214">
        <v>6400</v>
      </c>
      <c r="M205" s="217">
        <v>44418</v>
      </c>
      <c r="N205" s="217">
        <v>44418</v>
      </c>
      <c r="O205" s="218" t="s">
        <v>227</v>
      </c>
      <c r="P205" s="214" t="s">
        <v>222</v>
      </c>
      <c r="S205" s="214">
        <v>0</v>
      </c>
      <c r="T205" s="214">
        <v>0</v>
      </c>
      <c r="U205" s="214">
        <v>0</v>
      </c>
      <c r="V205" s="214">
        <v>0</v>
      </c>
      <c r="W205" s="214">
        <v>0</v>
      </c>
      <c r="X205" s="137">
        <v>6400</v>
      </c>
      <c r="Y205" s="215">
        <f t="shared" si="3"/>
        <v>6400</v>
      </c>
      <c r="Z205" s="214">
        <v>0</v>
      </c>
      <c r="AE205" s="214"/>
      <c r="AF205" s="214"/>
      <c r="AG205" s="214" t="s">
        <v>223</v>
      </c>
      <c r="AN205" s="214" t="s">
        <v>218</v>
      </c>
      <c r="AO205" s="214" t="s">
        <v>224</v>
      </c>
      <c r="AP205" s="214" t="s">
        <v>225</v>
      </c>
      <c r="AQ205" s="214">
        <v>0.13</v>
      </c>
      <c r="AR205" s="214" t="s">
        <v>226</v>
      </c>
    </row>
    <row r="206" hidden="1" spans="1:44">
      <c r="A206" s="214" t="s">
        <v>105</v>
      </c>
      <c r="B206" s="214" t="s">
        <v>18</v>
      </c>
      <c r="C206" s="215" t="s">
        <v>19</v>
      </c>
      <c r="D206" s="216">
        <v>71020121060805</v>
      </c>
      <c r="E206" s="217">
        <v>44363</v>
      </c>
      <c r="F206" s="214" t="s">
        <v>218</v>
      </c>
      <c r="G206" s="214" t="s">
        <v>219</v>
      </c>
      <c r="H206" s="214">
        <v>40</v>
      </c>
      <c r="I206" s="214" t="s">
        <v>168</v>
      </c>
      <c r="J206" s="214" t="s">
        <v>220</v>
      </c>
      <c r="K206" s="214" t="s">
        <v>221</v>
      </c>
      <c r="L206" s="214">
        <v>6400</v>
      </c>
      <c r="M206" s="217">
        <v>44425</v>
      </c>
      <c r="N206" s="217">
        <v>44425</v>
      </c>
      <c r="O206" s="218" t="s">
        <v>227</v>
      </c>
      <c r="P206" s="214" t="s">
        <v>222</v>
      </c>
      <c r="S206" s="214">
        <v>0</v>
      </c>
      <c r="T206" s="214">
        <v>0</v>
      </c>
      <c r="U206" s="214">
        <v>0</v>
      </c>
      <c r="V206" s="214">
        <v>0</v>
      </c>
      <c r="W206" s="214">
        <v>0</v>
      </c>
      <c r="X206" s="137">
        <v>6400</v>
      </c>
      <c r="Y206" s="215">
        <f t="shared" si="3"/>
        <v>6400</v>
      </c>
      <c r="Z206" s="214">
        <v>0</v>
      </c>
      <c r="AE206" s="214"/>
      <c r="AF206" s="214"/>
      <c r="AG206" s="214" t="s">
        <v>223</v>
      </c>
      <c r="AN206" s="214" t="s">
        <v>218</v>
      </c>
      <c r="AO206" s="214" t="s">
        <v>224</v>
      </c>
      <c r="AP206" s="214" t="s">
        <v>225</v>
      </c>
      <c r="AQ206" s="214">
        <v>0.13</v>
      </c>
      <c r="AR206" s="214" t="s">
        <v>226</v>
      </c>
    </row>
    <row r="207" hidden="1" spans="1:44">
      <c r="A207" s="214" t="s">
        <v>105</v>
      </c>
      <c r="B207" s="214" t="s">
        <v>18</v>
      </c>
      <c r="C207" s="215" t="s">
        <v>19</v>
      </c>
      <c r="D207" s="216">
        <v>71020121060805</v>
      </c>
      <c r="E207" s="217">
        <v>44363</v>
      </c>
      <c r="F207" s="214" t="s">
        <v>218</v>
      </c>
      <c r="G207" s="214" t="s">
        <v>219</v>
      </c>
      <c r="H207" s="214">
        <v>39</v>
      </c>
      <c r="I207" s="214" t="s">
        <v>168</v>
      </c>
      <c r="J207" s="214" t="s">
        <v>220</v>
      </c>
      <c r="K207" s="214" t="s">
        <v>221</v>
      </c>
      <c r="L207" s="214">
        <v>6000</v>
      </c>
      <c r="M207" s="217">
        <v>44432</v>
      </c>
      <c r="N207" s="217">
        <v>44432</v>
      </c>
      <c r="O207" s="218" t="s">
        <v>227</v>
      </c>
      <c r="P207" s="214" t="s">
        <v>222</v>
      </c>
      <c r="S207" s="214">
        <v>0</v>
      </c>
      <c r="T207" s="214">
        <v>0</v>
      </c>
      <c r="U207" s="214">
        <v>0</v>
      </c>
      <c r="V207" s="214">
        <v>0</v>
      </c>
      <c r="W207" s="214">
        <v>0</v>
      </c>
      <c r="X207" s="137">
        <v>6000</v>
      </c>
      <c r="Y207" s="215">
        <f t="shared" si="3"/>
        <v>6000</v>
      </c>
      <c r="Z207" s="214">
        <v>0</v>
      </c>
      <c r="AE207" s="214"/>
      <c r="AF207" s="214"/>
      <c r="AG207" s="214" t="s">
        <v>223</v>
      </c>
      <c r="AN207" s="214" t="s">
        <v>218</v>
      </c>
      <c r="AO207" s="214" t="s">
        <v>224</v>
      </c>
      <c r="AP207" s="214" t="s">
        <v>225</v>
      </c>
      <c r="AQ207" s="214">
        <v>0.13</v>
      </c>
      <c r="AR207" s="214" t="s">
        <v>226</v>
      </c>
    </row>
    <row r="208" hidden="1" spans="1:44">
      <c r="A208" t="s">
        <v>105</v>
      </c>
      <c r="B208" t="s">
        <v>18</v>
      </c>
      <c r="C208" s="209" t="s">
        <v>19</v>
      </c>
      <c r="D208" s="210">
        <v>71020121060805</v>
      </c>
      <c r="E208" s="211">
        <v>44363</v>
      </c>
      <c r="F208" t="s">
        <v>218</v>
      </c>
      <c r="G208" t="s">
        <v>219</v>
      </c>
      <c r="H208">
        <v>45</v>
      </c>
      <c r="I208" t="s">
        <v>170</v>
      </c>
      <c r="J208" t="s">
        <v>249</v>
      </c>
      <c r="K208" t="s">
        <v>221</v>
      </c>
      <c r="L208">
        <v>5600</v>
      </c>
      <c r="M208" s="211">
        <v>44432</v>
      </c>
      <c r="N208" s="211">
        <v>44432</v>
      </c>
      <c r="O208" s="212" t="s">
        <v>227</v>
      </c>
      <c r="P208" t="s">
        <v>222</v>
      </c>
      <c r="S208">
        <v>0</v>
      </c>
      <c r="T208">
        <v>0</v>
      </c>
      <c r="U208">
        <v>0</v>
      </c>
      <c r="V208">
        <v>0</v>
      </c>
      <c r="W208">
        <v>0</v>
      </c>
      <c r="X208" s="140">
        <v>5600</v>
      </c>
      <c r="Y208" s="209">
        <f t="shared" si="3"/>
        <v>5600</v>
      </c>
      <c r="Z208">
        <v>0</v>
      </c>
      <c r="AE208"/>
      <c r="AF208"/>
      <c r="AG208" t="s">
        <v>223</v>
      </c>
      <c r="AN208" t="s">
        <v>218</v>
      </c>
      <c r="AO208" t="s">
        <v>224</v>
      </c>
      <c r="AP208" t="s">
        <v>225</v>
      </c>
      <c r="AQ208">
        <v>0.13</v>
      </c>
      <c r="AR208" t="s">
        <v>226</v>
      </c>
    </row>
    <row r="209" hidden="1" spans="1:44">
      <c r="A209" t="s">
        <v>105</v>
      </c>
      <c r="B209" t="s">
        <v>18</v>
      </c>
      <c r="C209" s="209" t="s">
        <v>19</v>
      </c>
      <c r="D209" s="210">
        <v>71020121060805</v>
      </c>
      <c r="E209" s="211">
        <v>44363</v>
      </c>
      <c r="F209" t="s">
        <v>218</v>
      </c>
      <c r="G209" t="s">
        <v>219</v>
      </c>
      <c r="H209">
        <v>46</v>
      </c>
      <c r="I209" t="s">
        <v>170</v>
      </c>
      <c r="J209" t="s">
        <v>249</v>
      </c>
      <c r="K209" t="s">
        <v>221</v>
      </c>
      <c r="L209">
        <v>5600</v>
      </c>
      <c r="M209" s="211">
        <v>44425</v>
      </c>
      <c r="N209" s="211">
        <v>44425</v>
      </c>
      <c r="O209" s="212" t="s">
        <v>227</v>
      </c>
      <c r="P209" t="s">
        <v>222</v>
      </c>
      <c r="S209">
        <v>0</v>
      </c>
      <c r="T209">
        <v>0</v>
      </c>
      <c r="U209">
        <v>0</v>
      </c>
      <c r="V209">
        <v>0</v>
      </c>
      <c r="W209">
        <v>0</v>
      </c>
      <c r="X209" s="140">
        <v>5600</v>
      </c>
      <c r="Y209" s="209">
        <f t="shared" si="3"/>
        <v>5600</v>
      </c>
      <c r="Z209">
        <v>0</v>
      </c>
      <c r="AE209"/>
      <c r="AF209"/>
      <c r="AG209" t="s">
        <v>223</v>
      </c>
      <c r="AN209" t="s">
        <v>218</v>
      </c>
      <c r="AO209" t="s">
        <v>224</v>
      </c>
      <c r="AP209" t="s">
        <v>225</v>
      </c>
      <c r="AQ209">
        <v>0.13</v>
      </c>
      <c r="AR209" t="s">
        <v>226</v>
      </c>
    </row>
    <row r="210" hidden="1" spans="1:44">
      <c r="A210" t="s">
        <v>105</v>
      </c>
      <c r="B210" t="s">
        <v>18</v>
      </c>
      <c r="C210" s="209" t="s">
        <v>19</v>
      </c>
      <c r="D210" s="210">
        <v>71020121060805</v>
      </c>
      <c r="E210" s="211">
        <v>44363</v>
      </c>
      <c r="F210" t="s">
        <v>218</v>
      </c>
      <c r="G210" t="s">
        <v>219</v>
      </c>
      <c r="H210">
        <v>47</v>
      </c>
      <c r="I210" t="s">
        <v>170</v>
      </c>
      <c r="J210" t="s">
        <v>249</v>
      </c>
      <c r="K210" t="s">
        <v>221</v>
      </c>
      <c r="L210">
        <v>4300</v>
      </c>
      <c r="M210" s="211">
        <v>44404</v>
      </c>
      <c r="N210" s="211">
        <v>44407</v>
      </c>
      <c r="O210" s="212" t="s">
        <v>60</v>
      </c>
      <c r="P210" t="s">
        <v>222</v>
      </c>
      <c r="S210">
        <v>0</v>
      </c>
      <c r="T210">
        <v>0</v>
      </c>
      <c r="U210">
        <v>0</v>
      </c>
      <c r="V210">
        <v>0</v>
      </c>
      <c r="W210">
        <v>0</v>
      </c>
      <c r="X210" s="140">
        <v>4300</v>
      </c>
      <c r="Y210" s="209">
        <f t="shared" si="3"/>
        <v>4300</v>
      </c>
      <c r="Z210">
        <v>0</v>
      </c>
      <c r="AE210"/>
      <c r="AF210"/>
      <c r="AG210" t="s">
        <v>223</v>
      </c>
      <c r="AN210" t="s">
        <v>218</v>
      </c>
      <c r="AO210" t="s">
        <v>224</v>
      </c>
      <c r="AP210" t="s">
        <v>225</v>
      </c>
      <c r="AQ210">
        <v>0.13</v>
      </c>
      <c r="AR210" t="s">
        <v>226</v>
      </c>
    </row>
    <row r="211" hidden="1" spans="1:44">
      <c r="A211" t="s">
        <v>105</v>
      </c>
      <c r="B211" t="s">
        <v>18</v>
      </c>
      <c r="C211" s="209" t="s">
        <v>19</v>
      </c>
      <c r="D211" s="210">
        <v>71020121060805</v>
      </c>
      <c r="E211" s="211">
        <v>44363</v>
      </c>
      <c r="F211" t="s">
        <v>218</v>
      </c>
      <c r="G211" t="s">
        <v>219</v>
      </c>
      <c r="H211">
        <v>48</v>
      </c>
      <c r="I211" t="s">
        <v>170</v>
      </c>
      <c r="J211" t="s">
        <v>249</v>
      </c>
      <c r="K211" t="s">
        <v>221</v>
      </c>
      <c r="L211">
        <v>4300</v>
      </c>
      <c r="M211" s="211">
        <v>44397</v>
      </c>
      <c r="N211" s="211">
        <v>44406</v>
      </c>
      <c r="O211" s="212" t="s">
        <v>60</v>
      </c>
      <c r="P211" t="s">
        <v>222</v>
      </c>
      <c r="S211">
        <v>0</v>
      </c>
      <c r="T211">
        <v>0</v>
      </c>
      <c r="U211">
        <v>0</v>
      </c>
      <c r="V211">
        <v>0</v>
      </c>
      <c r="W211">
        <v>0</v>
      </c>
      <c r="X211" s="140">
        <v>4300</v>
      </c>
      <c r="Y211" s="209">
        <f t="shared" si="3"/>
        <v>4300</v>
      </c>
      <c r="Z211">
        <v>0</v>
      </c>
      <c r="AE211"/>
      <c r="AF211"/>
      <c r="AG211" t="s">
        <v>223</v>
      </c>
      <c r="AN211" t="s">
        <v>218</v>
      </c>
      <c r="AO211" t="s">
        <v>224</v>
      </c>
      <c r="AP211" t="s">
        <v>225</v>
      </c>
      <c r="AQ211">
        <v>0.13</v>
      </c>
      <c r="AR211" t="s">
        <v>226</v>
      </c>
    </row>
    <row r="212" hidden="1" spans="1:44">
      <c r="A212" t="s">
        <v>105</v>
      </c>
      <c r="B212" t="s">
        <v>18</v>
      </c>
      <c r="C212" s="209" t="s">
        <v>19</v>
      </c>
      <c r="D212" s="210">
        <v>71020121060805</v>
      </c>
      <c r="E212" s="211">
        <v>44363</v>
      </c>
      <c r="F212" t="s">
        <v>218</v>
      </c>
      <c r="G212" t="s">
        <v>219</v>
      </c>
      <c r="H212">
        <v>49</v>
      </c>
      <c r="I212" t="s">
        <v>170</v>
      </c>
      <c r="J212" t="s">
        <v>249</v>
      </c>
      <c r="K212" t="s">
        <v>221</v>
      </c>
      <c r="L212">
        <v>4300</v>
      </c>
      <c r="M212" s="211">
        <v>44390</v>
      </c>
      <c r="N212" s="211">
        <v>44405</v>
      </c>
      <c r="O212" s="212" t="s">
        <v>60</v>
      </c>
      <c r="P212" t="s">
        <v>222</v>
      </c>
      <c r="S212">
        <v>0</v>
      </c>
      <c r="T212">
        <v>0</v>
      </c>
      <c r="U212">
        <v>0</v>
      </c>
      <c r="V212">
        <v>0</v>
      </c>
      <c r="W212">
        <v>0</v>
      </c>
      <c r="X212" s="140">
        <v>4300</v>
      </c>
      <c r="Y212" s="209">
        <f t="shared" si="3"/>
        <v>4300</v>
      </c>
      <c r="Z212">
        <v>0</v>
      </c>
      <c r="AE212"/>
      <c r="AF212"/>
      <c r="AG212" t="s">
        <v>223</v>
      </c>
      <c r="AN212" t="s">
        <v>218</v>
      </c>
      <c r="AO212" t="s">
        <v>224</v>
      </c>
      <c r="AP212" t="s">
        <v>225</v>
      </c>
      <c r="AQ212">
        <v>0.13</v>
      </c>
      <c r="AR212" t="s">
        <v>226</v>
      </c>
    </row>
    <row r="213" hidden="1" spans="1:44">
      <c r="A213" t="s">
        <v>105</v>
      </c>
      <c r="B213" t="s">
        <v>18</v>
      </c>
      <c r="C213" s="209" t="s">
        <v>19</v>
      </c>
      <c r="D213" s="210">
        <v>71020121060805</v>
      </c>
      <c r="E213" s="211">
        <v>44363</v>
      </c>
      <c r="F213" t="s">
        <v>218</v>
      </c>
      <c r="G213" t="s">
        <v>219</v>
      </c>
      <c r="H213">
        <v>51</v>
      </c>
      <c r="I213" t="s">
        <v>170</v>
      </c>
      <c r="J213" t="s">
        <v>249</v>
      </c>
      <c r="K213" t="s">
        <v>221</v>
      </c>
      <c r="L213">
        <v>3300</v>
      </c>
      <c r="M213" s="211">
        <v>44383</v>
      </c>
      <c r="N213" s="211">
        <v>44413</v>
      </c>
      <c r="O213" s="212" t="s">
        <v>227</v>
      </c>
      <c r="P213" t="s">
        <v>222</v>
      </c>
      <c r="S213">
        <v>0</v>
      </c>
      <c r="T213">
        <v>0</v>
      </c>
      <c r="U213">
        <v>0</v>
      </c>
      <c r="V213">
        <v>0</v>
      </c>
      <c r="W213">
        <v>0</v>
      </c>
      <c r="X213" s="140">
        <v>3300</v>
      </c>
      <c r="Y213" s="209">
        <f t="shared" si="3"/>
        <v>3300</v>
      </c>
      <c r="Z213">
        <v>0</v>
      </c>
      <c r="AE213"/>
      <c r="AF213"/>
      <c r="AG213" t="s">
        <v>223</v>
      </c>
      <c r="AN213" t="s">
        <v>218</v>
      </c>
      <c r="AO213" t="s">
        <v>224</v>
      </c>
      <c r="AP213" t="s">
        <v>225</v>
      </c>
      <c r="AQ213">
        <v>0.13</v>
      </c>
      <c r="AR213" t="s">
        <v>226</v>
      </c>
    </row>
    <row r="214" hidden="1" spans="1:44">
      <c r="A214" t="s">
        <v>105</v>
      </c>
      <c r="B214" t="s">
        <v>18</v>
      </c>
      <c r="C214" s="209" t="s">
        <v>19</v>
      </c>
      <c r="D214" s="210">
        <v>71020121060805</v>
      </c>
      <c r="E214" s="211">
        <v>44363</v>
      </c>
      <c r="F214" t="s">
        <v>218</v>
      </c>
      <c r="G214" t="s">
        <v>219</v>
      </c>
      <c r="H214">
        <v>52</v>
      </c>
      <c r="I214" t="s">
        <v>170</v>
      </c>
      <c r="J214" t="s">
        <v>249</v>
      </c>
      <c r="K214" t="s">
        <v>221</v>
      </c>
      <c r="L214">
        <v>4300</v>
      </c>
      <c r="M214" s="211">
        <v>44382</v>
      </c>
      <c r="N214" s="211">
        <v>44411</v>
      </c>
      <c r="O214" s="212" t="s">
        <v>227</v>
      </c>
      <c r="P214" t="s">
        <v>222</v>
      </c>
      <c r="S214">
        <v>0</v>
      </c>
      <c r="T214">
        <v>0</v>
      </c>
      <c r="U214">
        <v>0</v>
      </c>
      <c r="V214">
        <v>0</v>
      </c>
      <c r="W214">
        <v>0</v>
      </c>
      <c r="X214" s="140">
        <v>4300</v>
      </c>
      <c r="Y214" s="209">
        <f t="shared" si="3"/>
        <v>4300</v>
      </c>
      <c r="Z214">
        <v>0</v>
      </c>
      <c r="AE214"/>
      <c r="AF214"/>
      <c r="AG214" t="s">
        <v>223</v>
      </c>
      <c r="AN214" t="s">
        <v>218</v>
      </c>
      <c r="AO214" t="s">
        <v>224</v>
      </c>
      <c r="AP214" t="s">
        <v>225</v>
      </c>
      <c r="AQ214">
        <v>0.13</v>
      </c>
      <c r="AR214" t="s">
        <v>226</v>
      </c>
    </row>
    <row r="215" hidden="1" spans="1:44">
      <c r="A215" t="s">
        <v>105</v>
      </c>
      <c r="B215" t="s">
        <v>18</v>
      </c>
      <c r="C215" s="209" t="s">
        <v>19</v>
      </c>
      <c r="D215" s="210">
        <v>71020121060805</v>
      </c>
      <c r="E215" s="211">
        <v>44363</v>
      </c>
      <c r="F215" t="s">
        <v>218</v>
      </c>
      <c r="G215" t="s">
        <v>219</v>
      </c>
      <c r="H215">
        <v>53</v>
      </c>
      <c r="I215" t="s">
        <v>170</v>
      </c>
      <c r="J215" t="s">
        <v>249</v>
      </c>
      <c r="K215" t="s">
        <v>221</v>
      </c>
      <c r="L215">
        <v>4300</v>
      </c>
      <c r="M215" s="211">
        <v>44381</v>
      </c>
      <c r="N215" s="211">
        <v>44410</v>
      </c>
      <c r="O215" s="212" t="s">
        <v>227</v>
      </c>
      <c r="P215" t="s">
        <v>222</v>
      </c>
      <c r="S215">
        <v>0</v>
      </c>
      <c r="T215">
        <v>0</v>
      </c>
      <c r="U215">
        <v>0</v>
      </c>
      <c r="V215">
        <v>0</v>
      </c>
      <c r="W215">
        <v>0</v>
      </c>
      <c r="X215" s="140">
        <v>4300</v>
      </c>
      <c r="Y215" s="209">
        <f t="shared" si="3"/>
        <v>4300</v>
      </c>
      <c r="Z215">
        <v>0</v>
      </c>
      <c r="AE215"/>
      <c r="AF215"/>
      <c r="AG215" t="s">
        <v>223</v>
      </c>
      <c r="AN215" t="s">
        <v>218</v>
      </c>
      <c r="AO215" t="s">
        <v>224</v>
      </c>
      <c r="AP215" t="s">
        <v>225</v>
      </c>
      <c r="AQ215">
        <v>0.13</v>
      </c>
      <c r="AR215" t="s">
        <v>226</v>
      </c>
    </row>
    <row r="216" hidden="1" spans="1:44">
      <c r="A216" t="s">
        <v>105</v>
      </c>
      <c r="B216" t="s">
        <v>18</v>
      </c>
      <c r="C216" s="209" t="s">
        <v>19</v>
      </c>
      <c r="D216" s="210">
        <v>71020121060805</v>
      </c>
      <c r="E216" s="211">
        <v>44363</v>
      </c>
      <c r="F216" t="s">
        <v>218</v>
      </c>
      <c r="G216" t="s">
        <v>219</v>
      </c>
      <c r="H216">
        <v>54</v>
      </c>
      <c r="I216" t="s">
        <v>170</v>
      </c>
      <c r="J216" t="s">
        <v>249</v>
      </c>
      <c r="K216" t="s">
        <v>221</v>
      </c>
      <c r="L216">
        <v>4300</v>
      </c>
      <c r="M216" s="211">
        <v>44380</v>
      </c>
      <c r="N216" s="211">
        <v>44415</v>
      </c>
      <c r="O216" s="212" t="s">
        <v>227</v>
      </c>
      <c r="P216" t="s">
        <v>222</v>
      </c>
      <c r="S216">
        <v>0</v>
      </c>
      <c r="T216">
        <v>0</v>
      </c>
      <c r="U216">
        <v>0</v>
      </c>
      <c r="V216">
        <v>0</v>
      </c>
      <c r="W216">
        <v>0</v>
      </c>
      <c r="X216" s="140">
        <v>4300</v>
      </c>
      <c r="Y216" s="209">
        <f t="shared" si="3"/>
        <v>4300</v>
      </c>
      <c r="Z216">
        <v>0</v>
      </c>
      <c r="AE216"/>
      <c r="AF216"/>
      <c r="AG216" t="s">
        <v>223</v>
      </c>
      <c r="AN216" t="s">
        <v>218</v>
      </c>
      <c r="AO216" t="s">
        <v>224</v>
      </c>
      <c r="AP216" t="s">
        <v>225</v>
      </c>
      <c r="AQ216">
        <v>0.13</v>
      </c>
      <c r="AR216" t="s">
        <v>226</v>
      </c>
    </row>
    <row r="217" hidden="1" spans="1:44">
      <c r="A217" t="s">
        <v>105</v>
      </c>
      <c r="B217" t="s">
        <v>18</v>
      </c>
      <c r="C217" s="209" t="s">
        <v>19</v>
      </c>
      <c r="D217" s="210">
        <v>71020121060986</v>
      </c>
      <c r="E217" s="211">
        <v>44369</v>
      </c>
      <c r="F217" t="s">
        <v>218</v>
      </c>
      <c r="G217" t="s">
        <v>219</v>
      </c>
      <c r="H217">
        <v>1</v>
      </c>
      <c r="I217" t="s">
        <v>166</v>
      </c>
      <c r="J217" t="s">
        <v>220</v>
      </c>
      <c r="K217" t="s">
        <v>221</v>
      </c>
      <c r="L217">
        <v>3360</v>
      </c>
      <c r="M217" s="211">
        <v>44421</v>
      </c>
      <c r="N217" s="211">
        <v>44421</v>
      </c>
      <c r="O217" s="212" t="s">
        <v>227</v>
      </c>
      <c r="P217" t="s">
        <v>222</v>
      </c>
      <c r="S217">
        <v>0</v>
      </c>
      <c r="T217">
        <v>0</v>
      </c>
      <c r="U217">
        <v>0</v>
      </c>
      <c r="V217">
        <v>0</v>
      </c>
      <c r="W217">
        <v>0</v>
      </c>
      <c r="X217" s="140">
        <v>3360</v>
      </c>
      <c r="Y217" s="209">
        <f t="shared" si="3"/>
        <v>3360</v>
      </c>
      <c r="Z217">
        <v>0</v>
      </c>
      <c r="AE217"/>
      <c r="AF217"/>
      <c r="AG217" t="s">
        <v>223</v>
      </c>
      <c r="AN217" t="s">
        <v>218</v>
      </c>
      <c r="AO217" t="s">
        <v>224</v>
      </c>
      <c r="AP217" t="s">
        <v>225</v>
      </c>
      <c r="AQ217">
        <v>0.13</v>
      </c>
      <c r="AR217" t="s">
        <v>238</v>
      </c>
    </row>
    <row r="218" hidden="1" spans="1:44">
      <c r="A218" t="s">
        <v>105</v>
      </c>
      <c r="B218" t="s">
        <v>18</v>
      </c>
      <c r="C218" s="209" t="s">
        <v>19</v>
      </c>
      <c r="D218" s="210">
        <v>71020121060986</v>
      </c>
      <c r="E218" s="211">
        <v>44369</v>
      </c>
      <c r="F218" t="s">
        <v>218</v>
      </c>
      <c r="G218" t="s">
        <v>219</v>
      </c>
      <c r="H218">
        <v>2</v>
      </c>
      <c r="I218" t="s">
        <v>169</v>
      </c>
      <c r="J218" t="s">
        <v>244</v>
      </c>
      <c r="K218" t="s">
        <v>221</v>
      </c>
      <c r="L218">
        <v>800</v>
      </c>
      <c r="M218" s="211">
        <v>44433</v>
      </c>
      <c r="N218" s="211">
        <v>44433</v>
      </c>
      <c r="O218" s="212" t="s">
        <v>227</v>
      </c>
      <c r="P218" t="s">
        <v>222</v>
      </c>
      <c r="S218">
        <v>0</v>
      </c>
      <c r="T218">
        <v>0</v>
      </c>
      <c r="U218">
        <v>0</v>
      </c>
      <c r="V218">
        <v>0</v>
      </c>
      <c r="W218">
        <v>0</v>
      </c>
      <c r="X218" s="140">
        <v>800</v>
      </c>
      <c r="Y218" s="209">
        <f t="shared" si="3"/>
        <v>800</v>
      </c>
      <c r="Z218">
        <v>0</v>
      </c>
      <c r="AE218"/>
      <c r="AF218"/>
      <c r="AG218" t="s">
        <v>223</v>
      </c>
      <c r="AN218" t="s">
        <v>218</v>
      </c>
      <c r="AO218" t="s">
        <v>224</v>
      </c>
      <c r="AP218" t="s">
        <v>225</v>
      </c>
      <c r="AQ218">
        <v>0.13</v>
      </c>
      <c r="AR218" t="s">
        <v>238</v>
      </c>
    </row>
    <row r="219" hidden="1" spans="1:44">
      <c r="A219" t="s">
        <v>105</v>
      </c>
      <c r="B219" t="s">
        <v>18</v>
      </c>
      <c r="C219" s="209" t="s">
        <v>19</v>
      </c>
      <c r="D219" s="210">
        <v>71020121060986</v>
      </c>
      <c r="E219" s="211">
        <v>44369</v>
      </c>
      <c r="F219" t="s">
        <v>218</v>
      </c>
      <c r="G219" t="s">
        <v>219</v>
      </c>
      <c r="H219">
        <v>3</v>
      </c>
      <c r="I219" t="s">
        <v>166</v>
      </c>
      <c r="J219" t="s">
        <v>220</v>
      </c>
      <c r="K219" t="s">
        <v>221</v>
      </c>
      <c r="L219">
        <v>3360</v>
      </c>
      <c r="M219" s="211">
        <v>44393</v>
      </c>
      <c r="N219" s="211">
        <v>44387</v>
      </c>
      <c r="O219" s="212" t="s">
        <v>60</v>
      </c>
      <c r="P219" t="s">
        <v>222</v>
      </c>
      <c r="S219">
        <v>952</v>
      </c>
      <c r="T219">
        <v>952</v>
      </c>
      <c r="U219">
        <v>0</v>
      </c>
      <c r="V219">
        <v>952</v>
      </c>
      <c r="W219">
        <v>0</v>
      </c>
      <c r="X219" s="140">
        <v>2408</v>
      </c>
      <c r="Y219" s="209">
        <f t="shared" si="3"/>
        <v>2408</v>
      </c>
      <c r="Z219">
        <v>0</v>
      </c>
      <c r="AE219">
        <v>44386</v>
      </c>
      <c r="AF219">
        <v>44387</v>
      </c>
      <c r="AG219" t="s">
        <v>223</v>
      </c>
      <c r="AN219" t="s">
        <v>218</v>
      </c>
      <c r="AO219" t="s">
        <v>224</v>
      </c>
      <c r="AP219" t="s">
        <v>225</v>
      </c>
      <c r="AQ219">
        <v>0.13</v>
      </c>
      <c r="AR219" t="s">
        <v>238</v>
      </c>
    </row>
    <row r="220" hidden="1" spans="1:44">
      <c r="A220" t="s">
        <v>105</v>
      </c>
      <c r="B220" t="s">
        <v>18</v>
      </c>
      <c r="C220" s="209" t="s">
        <v>19</v>
      </c>
      <c r="D220" s="210">
        <v>71020121060986</v>
      </c>
      <c r="E220" s="211">
        <v>44369</v>
      </c>
      <c r="F220" t="s">
        <v>218</v>
      </c>
      <c r="G220" t="s">
        <v>219</v>
      </c>
      <c r="H220">
        <v>4</v>
      </c>
      <c r="I220" t="s">
        <v>250</v>
      </c>
      <c r="J220" t="s">
        <v>220</v>
      </c>
      <c r="K220" t="s">
        <v>221</v>
      </c>
      <c r="L220">
        <v>1450</v>
      </c>
      <c r="M220" s="211">
        <v>44414</v>
      </c>
      <c r="N220" s="211">
        <v>44414</v>
      </c>
      <c r="O220" s="212" t="s">
        <v>227</v>
      </c>
      <c r="P220" t="s">
        <v>222</v>
      </c>
      <c r="S220">
        <v>0</v>
      </c>
      <c r="T220">
        <v>0</v>
      </c>
      <c r="U220">
        <v>0</v>
      </c>
      <c r="V220">
        <v>0</v>
      </c>
      <c r="W220">
        <v>0</v>
      </c>
      <c r="X220" s="140">
        <v>1450</v>
      </c>
      <c r="Y220" s="209">
        <f t="shared" si="3"/>
        <v>1450</v>
      </c>
      <c r="Z220">
        <v>0</v>
      </c>
      <c r="AE220"/>
      <c r="AF220"/>
      <c r="AG220" t="s">
        <v>223</v>
      </c>
      <c r="AN220" t="s">
        <v>218</v>
      </c>
      <c r="AO220" t="s">
        <v>224</v>
      </c>
      <c r="AP220" t="s">
        <v>225</v>
      </c>
      <c r="AQ220">
        <v>0.13</v>
      </c>
      <c r="AR220" t="s">
        <v>238</v>
      </c>
    </row>
    <row r="221" hidden="1" spans="1:44">
      <c r="A221" t="s">
        <v>105</v>
      </c>
      <c r="B221" t="s">
        <v>18</v>
      </c>
      <c r="C221" s="209" t="s">
        <v>19</v>
      </c>
      <c r="D221" s="210">
        <v>71020121060992</v>
      </c>
      <c r="E221" s="211">
        <v>44369</v>
      </c>
      <c r="F221" t="s">
        <v>245</v>
      </c>
      <c r="G221" t="s">
        <v>219</v>
      </c>
      <c r="H221">
        <v>2</v>
      </c>
      <c r="I221" t="s">
        <v>101</v>
      </c>
      <c r="J221" t="s">
        <v>220</v>
      </c>
      <c r="K221" t="s">
        <v>221</v>
      </c>
      <c r="L221">
        <v>3000</v>
      </c>
      <c r="M221" s="211">
        <v>44376</v>
      </c>
      <c r="N221" s="211">
        <v>44388</v>
      </c>
      <c r="O221" s="212" t="s">
        <v>60</v>
      </c>
      <c r="P221" t="s">
        <v>222</v>
      </c>
      <c r="S221">
        <v>3000</v>
      </c>
      <c r="T221">
        <v>3000</v>
      </c>
      <c r="U221">
        <v>0</v>
      </c>
      <c r="V221">
        <v>1203</v>
      </c>
      <c r="W221">
        <v>0</v>
      </c>
      <c r="X221" s="140">
        <v>1797</v>
      </c>
      <c r="Y221" s="209">
        <f t="shared" si="3"/>
        <v>0</v>
      </c>
      <c r="Z221">
        <v>0</v>
      </c>
      <c r="AE221" s="211">
        <v>44392</v>
      </c>
      <c r="AF221" s="211">
        <v>44392</v>
      </c>
      <c r="AG221" t="s">
        <v>223</v>
      </c>
      <c r="AN221" t="s">
        <v>218</v>
      </c>
      <c r="AO221" t="s">
        <v>224</v>
      </c>
      <c r="AP221" t="s">
        <v>225</v>
      </c>
      <c r="AQ221">
        <v>0.13</v>
      </c>
      <c r="AR221" t="s">
        <v>226</v>
      </c>
    </row>
    <row r="222" hidden="1" spans="1:44">
      <c r="A222" t="s">
        <v>105</v>
      </c>
      <c r="B222" t="s">
        <v>18</v>
      </c>
      <c r="C222" s="209" t="s">
        <v>19</v>
      </c>
      <c r="D222" s="210">
        <v>71020121060992</v>
      </c>
      <c r="E222" s="211">
        <v>44369</v>
      </c>
      <c r="F222" t="s">
        <v>245</v>
      </c>
      <c r="G222" t="s">
        <v>219</v>
      </c>
      <c r="H222">
        <v>3</v>
      </c>
      <c r="I222" t="s">
        <v>101</v>
      </c>
      <c r="J222" t="s">
        <v>220</v>
      </c>
      <c r="K222" t="s">
        <v>221</v>
      </c>
      <c r="L222">
        <v>3000</v>
      </c>
      <c r="M222" s="211">
        <v>44377</v>
      </c>
      <c r="N222" s="211">
        <v>44389</v>
      </c>
      <c r="O222" s="212" t="s">
        <v>60</v>
      </c>
      <c r="P222" t="s">
        <v>222</v>
      </c>
      <c r="S222">
        <v>3000</v>
      </c>
      <c r="T222">
        <v>3000</v>
      </c>
      <c r="U222">
        <v>0</v>
      </c>
      <c r="V222">
        <v>0</v>
      </c>
      <c r="W222">
        <v>0</v>
      </c>
      <c r="X222" s="140">
        <v>3000</v>
      </c>
      <c r="Y222" s="209">
        <f t="shared" si="3"/>
        <v>0</v>
      </c>
      <c r="Z222">
        <v>0</v>
      </c>
      <c r="AE222" s="211">
        <v>44392</v>
      </c>
      <c r="AG222" t="s">
        <v>223</v>
      </c>
      <c r="AN222" t="s">
        <v>218</v>
      </c>
      <c r="AO222" t="s">
        <v>224</v>
      </c>
      <c r="AP222" t="s">
        <v>225</v>
      </c>
      <c r="AQ222">
        <v>0.13</v>
      </c>
      <c r="AR222" t="s">
        <v>226</v>
      </c>
    </row>
    <row r="223" hidden="1" spans="1:44">
      <c r="A223" t="s">
        <v>105</v>
      </c>
      <c r="B223" t="s">
        <v>18</v>
      </c>
      <c r="C223" s="209" t="s">
        <v>19</v>
      </c>
      <c r="D223" s="210">
        <v>71020121060992</v>
      </c>
      <c r="E223" s="211">
        <v>44369</v>
      </c>
      <c r="F223" t="s">
        <v>218</v>
      </c>
      <c r="G223" t="s">
        <v>219</v>
      </c>
      <c r="H223">
        <v>5</v>
      </c>
      <c r="I223" t="s">
        <v>101</v>
      </c>
      <c r="J223" t="s">
        <v>220</v>
      </c>
      <c r="K223" t="s">
        <v>221</v>
      </c>
      <c r="L223">
        <v>3000</v>
      </c>
      <c r="M223" s="211">
        <v>44379</v>
      </c>
      <c r="N223" s="211">
        <v>44392</v>
      </c>
      <c r="O223" s="212" t="s">
        <v>60</v>
      </c>
      <c r="P223" t="s">
        <v>222</v>
      </c>
      <c r="S223">
        <v>2031</v>
      </c>
      <c r="T223">
        <v>2031</v>
      </c>
      <c r="U223">
        <v>0</v>
      </c>
      <c r="V223">
        <v>1380</v>
      </c>
      <c r="W223">
        <v>0</v>
      </c>
      <c r="X223" s="140">
        <v>1620</v>
      </c>
      <c r="Y223" s="209">
        <f t="shared" si="3"/>
        <v>969</v>
      </c>
      <c r="Z223">
        <v>0</v>
      </c>
      <c r="AE223">
        <v>44392</v>
      </c>
      <c r="AF223">
        <v>44392</v>
      </c>
      <c r="AG223" t="s">
        <v>223</v>
      </c>
      <c r="AN223" t="s">
        <v>218</v>
      </c>
      <c r="AO223" t="s">
        <v>224</v>
      </c>
      <c r="AP223" t="s">
        <v>225</v>
      </c>
      <c r="AQ223">
        <v>0.13</v>
      </c>
      <c r="AR223" t="s">
        <v>226</v>
      </c>
    </row>
    <row r="224" hidden="1" spans="1:44">
      <c r="A224" t="s">
        <v>105</v>
      </c>
      <c r="B224" t="s">
        <v>18</v>
      </c>
      <c r="C224" s="209" t="s">
        <v>19</v>
      </c>
      <c r="D224" s="210">
        <v>71020121060992</v>
      </c>
      <c r="E224" s="211">
        <v>44369</v>
      </c>
      <c r="F224" t="s">
        <v>218</v>
      </c>
      <c r="G224" t="s">
        <v>219</v>
      </c>
      <c r="H224">
        <v>6</v>
      </c>
      <c r="I224" t="s">
        <v>101</v>
      </c>
      <c r="J224" t="s">
        <v>220</v>
      </c>
      <c r="K224" t="s">
        <v>221</v>
      </c>
      <c r="L224">
        <v>1000</v>
      </c>
      <c r="M224" s="211">
        <v>44385</v>
      </c>
      <c r="N224" s="211">
        <v>44392</v>
      </c>
      <c r="O224" s="212" t="s">
        <v>60</v>
      </c>
      <c r="P224" t="s">
        <v>222</v>
      </c>
      <c r="S224">
        <v>0</v>
      </c>
      <c r="T224">
        <v>0</v>
      </c>
      <c r="U224">
        <v>0</v>
      </c>
      <c r="V224">
        <v>0</v>
      </c>
      <c r="W224">
        <v>0</v>
      </c>
      <c r="X224" s="140">
        <v>1000</v>
      </c>
      <c r="Y224" s="209">
        <f t="shared" si="3"/>
        <v>1000</v>
      </c>
      <c r="Z224">
        <v>0</v>
      </c>
      <c r="AE224"/>
      <c r="AF224"/>
      <c r="AG224" t="s">
        <v>223</v>
      </c>
      <c r="AN224" t="s">
        <v>218</v>
      </c>
      <c r="AO224" t="s">
        <v>224</v>
      </c>
      <c r="AP224" t="s">
        <v>225</v>
      </c>
      <c r="AQ224">
        <v>0.13</v>
      </c>
      <c r="AR224" t="s">
        <v>226</v>
      </c>
    </row>
    <row r="225" hidden="1" spans="1:44">
      <c r="A225" t="s">
        <v>105</v>
      </c>
      <c r="B225" t="s">
        <v>18</v>
      </c>
      <c r="C225" s="209" t="s">
        <v>19</v>
      </c>
      <c r="D225" s="210">
        <v>71020121061027</v>
      </c>
      <c r="E225" s="211">
        <v>44369</v>
      </c>
      <c r="F225" t="s">
        <v>218</v>
      </c>
      <c r="G225" t="s">
        <v>219</v>
      </c>
      <c r="H225">
        <v>1</v>
      </c>
      <c r="I225" t="s">
        <v>167</v>
      </c>
      <c r="J225" t="s">
        <v>242</v>
      </c>
      <c r="K225" t="s">
        <v>221</v>
      </c>
      <c r="L225">
        <v>16800</v>
      </c>
      <c r="M225" s="211">
        <v>44397</v>
      </c>
      <c r="N225" s="211">
        <v>44405</v>
      </c>
      <c r="O225" s="212" t="s">
        <v>60</v>
      </c>
      <c r="P225" t="s">
        <v>222</v>
      </c>
      <c r="S225">
        <v>0</v>
      </c>
      <c r="T225">
        <v>0</v>
      </c>
      <c r="U225">
        <v>0</v>
      </c>
      <c r="V225">
        <v>0</v>
      </c>
      <c r="W225">
        <v>0</v>
      </c>
      <c r="X225" s="140">
        <v>16800</v>
      </c>
      <c r="Y225" s="209">
        <f t="shared" si="3"/>
        <v>16800</v>
      </c>
      <c r="Z225">
        <v>0</v>
      </c>
      <c r="AE225"/>
      <c r="AF225"/>
      <c r="AG225" t="s">
        <v>223</v>
      </c>
      <c r="AN225" t="s">
        <v>218</v>
      </c>
      <c r="AO225" t="s">
        <v>224</v>
      </c>
      <c r="AP225" t="s">
        <v>225</v>
      </c>
      <c r="AQ225">
        <v>0.13</v>
      </c>
      <c r="AR225" t="s">
        <v>238</v>
      </c>
    </row>
    <row r="226" hidden="1" spans="1:44">
      <c r="A226" t="s">
        <v>105</v>
      </c>
      <c r="B226" t="s">
        <v>18</v>
      </c>
      <c r="C226" s="209" t="s">
        <v>19</v>
      </c>
      <c r="D226" s="210">
        <v>71020121070030</v>
      </c>
      <c r="E226" s="211">
        <v>44378</v>
      </c>
      <c r="F226" t="s">
        <v>218</v>
      </c>
      <c r="G226" t="s">
        <v>219</v>
      </c>
      <c r="H226">
        <v>1</v>
      </c>
      <c r="I226" t="s">
        <v>171</v>
      </c>
      <c r="J226" t="s">
        <v>242</v>
      </c>
      <c r="K226" t="s">
        <v>221</v>
      </c>
      <c r="L226">
        <v>15286</v>
      </c>
      <c r="M226" s="211">
        <v>44392</v>
      </c>
      <c r="N226" s="211">
        <v>44402</v>
      </c>
      <c r="O226" s="212" t="s">
        <v>60</v>
      </c>
      <c r="P226" t="s">
        <v>222</v>
      </c>
      <c r="S226">
        <v>0</v>
      </c>
      <c r="T226">
        <v>0</v>
      </c>
      <c r="U226">
        <v>0</v>
      </c>
      <c r="V226">
        <v>0</v>
      </c>
      <c r="W226">
        <v>0</v>
      </c>
      <c r="X226" s="140">
        <v>15286</v>
      </c>
      <c r="Y226" s="209">
        <f t="shared" si="3"/>
        <v>15286</v>
      </c>
      <c r="Z226">
        <v>0</v>
      </c>
      <c r="AE226"/>
      <c r="AF226"/>
      <c r="AG226" t="s">
        <v>223</v>
      </c>
      <c r="AN226" t="s">
        <v>218</v>
      </c>
      <c r="AO226" t="s">
        <v>224</v>
      </c>
      <c r="AP226" t="s">
        <v>225</v>
      </c>
      <c r="AQ226">
        <v>0.13</v>
      </c>
      <c r="AR226" t="s">
        <v>238</v>
      </c>
    </row>
    <row r="227" hidden="1" spans="1:44">
      <c r="A227" t="s">
        <v>105</v>
      </c>
      <c r="B227" t="s">
        <v>18</v>
      </c>
      <c r="C227" s="209" t="s">
        <v>19</v>
      </c>
      <c r="D227" s="210">
        <v>71020121070030</v>
      </c>
      <c r="E227" s="211">
        <v>44378</v>
      </c>
      <c r="F227" t="s">
        <v>218</v>
      </c>
      <c r="G227" t="s">
        <v>219</v>
      </c>
      <c r="H227">
        <v>2</v>
      </c>
      <c r="I227" t="s">
        <v>171</v>
      </c>
      <c r="J227" t="s">
        <v>242</v>
      </c>
      <c r="K227" t="s">
        <v>221</v>
      </c>
      <c r="L227">
        <v>14934</v>
      </c>
      <c r="M227" s="211">
        <v>44426</v>
      </c>
      <c r="N227" s="211">
        <v>44426</v>
      </c>
      <c r="O227" s="212" t="s">
        <v>227</v>
      </c>
      <c r="P227" t="s">
        <v>222</v>
      </c>
      <c r="S227">
        <v>0</v>
      </c>
      <c r="T227">
        <v>0</v>
      </c>
      <c r="U227">
        <v>0</v>
      </c>
      <c r="V227">
        <v>0</v>
      </c>
      <c r="W227">
        <v>0</v>
      </c>
      <c r="X227" s="140">
        <v>14934</v>
      </c>
      <c r="Y227" s="209">
        <f t="shared" si="3"/>
        <v>14934</v>
      </c>
      <c r="Z227">
        <v>0</v>
      </c>
      <c r="AE227"/>
      <c r="AF227"/>
      <c r="AG227" t="s">
        <v>223</v>
      </c>
      <c r="AN227" t="s">
        <v>218</v>
      </c>
      <c r="AO227" t="s">
        <v>224</v>
      </c>
      <c r="AP227" t="s">
        <v>225</v>
      </c>
      <c r="AQ227">
        <v>0.13</v>
      </c>
      <c r="AR227" t="s">
        <v>238</v>
      </c>
    </row>
    <row r="228" hidden="1" spans="1:44">
      <c r="A228" t="s">
        <v>105</v>
      </c>
      <c r="B228" t="s">
        <v>18</v>
      </c>
      <c r="C228" s="209" t="s">
        <v>19</v>
      </c>
      <c r="D228" s="210">
        <v>71020121070030</v>
      </c>
      <c r="E228" s="211">
        <v>44378</v>
      </c>
      <c r="F228" t="s">
        <v>218</v>
      </c>
      <c r="G228" t="s">
        <v>219</v>
      </c>
      <c r="H228">
        <v>3</v>
      </c>
      <c r="I228" t="s">
        <v>171</v>
      </c>
      <c r="J228" t="s">
        <v>242</v>
      </c>
      <c r="K228" t="s">
        <v>221</v>
      </c>
      <c r="L228">
        <v>14934</v>
      </c>
      <c r="M228" s="211">
        <v>44405</v>
      </c>
      <c r="N228" s="211">
        <v>44405</v>
      </c>
      <c r="O228" s="212" t="s">
        <v>60</v>
      </c>
      <c r="P228" t="s">
        <v>222</v>
      </c>
      <c r="S228">
        <v>0</v>
      </c>
      <c r="T228">
        <v>0</v>
      </c>
      <c r="U228">
        <v>0</v>
      </c>
      <c r="V228">
        <v>0</v>
      </c>
      <c r="W228">
        <v>0</v>
      </c>
      <c r="X228" s="140">
        <v>14934</v>
      </c>
      <c r="Y228" s="209">
        <f t="shared" si="3"/>
        <v>14934</v>
      </c>
      <c r="Z228">
        <v>0</v>
      </c>
      <c r="AE228"/>
      <c r="AF228"/>
      <c r="AG228" t="s">
        <v>223</v>
      </c>
      <c r="AN228" t="s">
        <v>218</v>
      </c>
      <c r="AO228" t="s">
        <v>224</v>
      </c>
      <c r="AP228" t="s">
        <v>225</v>
      </c>
      <c r="AQ228">
        <v>0.13</v>
      </c>
      <c r="AR228" t="s">
        <v>238</v>
      </c>
    </row>
    <row r="229" hidden="1" spans="1:44">
      <c r="A229" t="s">
        <v>105</v>
      </c>
      <c r="B229" t="s">
        <v>18</v>
      </c>
      <c r="C229" s="209" t="s">
        <v>19</v>
      </c>
      <c r="D229" s="210">
        <v>71020121070030</v>
      </c>
      <c r="E229" s="211">
        <v>44378</v>
      </c>
      <c r="F229" t="s">
        <v>218</v>
      </c>
      <c r="G229" t="s">
        <v>219</v>
      </c>
      <c r="H229">
        <v>4</v>
      </c>
      <c r="I229" t="s">
        <v>171</v>
      </c>
      <c r="J229" t="s">
        <v>242</v>
      </c>
      <c r="K229" t="s">
        <v>221</v>
      </c>
      <c r="L229">
        <v>17423</v>
      </c>
      <c r="M229" s="211">
        <v>44398</v>
      </c>
      <c r="N229" s="211">
        <v>44413</v>
      </c>
      <c r="O229" s="212" t="s">
        <v>227</v>
      </c>
      <c r="P229" t="s">
        <v>222</v>
      </c>
      <c r="S229">
        <v>0</v>
      </c>
      <c r="T229">
        <v>0</v>
      </c>
      <c r="U229">
        <v>0</v>
      </c>
      <c r="V229">
        <v>0</v>
      </c>
      <c r="W229">
        <v>0</v>
      </c>
      <c r="X229" s="140">
        <v>17423</v>
      </c>
      <c r="Y229" s="209">
        <f t="shared" si="3"/>
        <v>17423</v>
      </c>
      <c r="Z229">
        <v>0</v>
      </c>
      <c r="AE229"/>
      <c r="AF229"/>
      <c r="AG229" t="s">
        <v>223</v>
      </c>
      <c r="AN229" t="s">
        <v>218</v>
      </c>
      <c r="AO229" t="s">
        <v>224</v>
      </c>
      <c r="AP229" t="s">
        <v>225</v>
      </c>
      <c r="AQ229">
        <v>0.13</v>
      </c>
      <c r="AR229" t="s">
        <v>238</v>
      </c>
    </row>
    <row r="230" hidden="1" spans="1:44">
      <c r="A230" t="s">
        <v>105</v>
      </c>
      <c r="B230" t="s">
        <v>18</v>
      </c>
      <c r="C230" s="209" t="s">
        <v>19</v>
      </c>
      <c r="D230" s="210">
        <v>71020121070030</v>
      </c>
      <c r="E230" s="211">
        <v>44378</v>
      </c>
      <c r="F230" t="s">
        <v>218</v>
      </c>
      <c r="G230" t="s">
        <v>219</v>
      </c>
      <c r="H230">
        <v>5</v>
      </c>
      <c r="I230" t="s">
        <v>171</v>
      </c>
      <c r="J230" t="s">
        <v>242</v>
      </c>
      <c r="K230" t="s">
        <v>221</v>
      </c>
      <c r="L230">
        <v>17423</v>
      </c>
      <c r="M230" s="211">
        <v>44391</v>
      </c>
      <c r="N230" s="211">
        <v>44391</v>
      </c>
      <c r="O230" s="212" t="s">
        <v>60</v>
      </c>
      <c r="P230" t="s">
        <v>222</v>
      </c>
      <c r="S230">
        <v>0</v>
      </c>
      <c r="T230">
        <v>0</v>
      </c>
      <c r="U230">
        <v>0</v>
      </c>
      <c r="V230">
        <v>0</v>
      </c>
      <c r="W230">
        <v>0</v>
      </c>
      <c r="X230" s="140">
        <v>17423</v>
      </c>
      <c r="Y230" s="209">
        <f t="shared" si="3"/>
        <v>17423</v>
      </c>
      <c r="Z230">
        <v>0</v>
      </c>
      <c r="AE230"/>
      <c r="AF230"/>
      <c r="AG230" t="s">
        <v>223</v>
      </c>
      <c r="AN230" t="s">
        <v>218</v>
      </c>
      <c r="AO230" t="s">
        <v>224</v>
      </c>
      <c r="AP230" t="s">
        <v>225</v>
      </c>
      <c r="AQ230">
        <v>0.13</v>
      </c>
      <c r="AR230" t="s">
        <v>238</v>
      </c>
    </row>
    <row r="231" hidden="1" spans="1:44">
      <c r="A231" t="s">
        <v>105</v>
      </c>
      <c r="B231" t="s">
        <v>18</v>
      </c>
      <c r="C231" s="209" t="s">
        <v>19</v>
      </c>
      <c r="D231" s="210">
        <v>71020121070030</v>
      </c>
      <c r="E231" s="211">
        <v>44378</v>
      </c>
      <c r="F231" t="s">
        <v>218</v>
      </c>
      <c r="G231" t="s">
        <v>219</v>
      </c>
      <c r="H231">
        <v>6</v>
      </c>
      <c r="I231" t="s">
        <v>169</v>
      </c>
      <c r="J231" t="s">
        <v>244</v>
      </c>
      <c r="K231" t="s">
        <v>221</v>
      </c>
      <c r="L231">
        <v>579</v>
      </c>
      <c r="M231" s="211">
        <v>44433</v>
      </c>
      <c r="N231" s="211">
        <v>44433</v>
      </c>
      <c r="O231" s="212" t="s">
        <v>227</v>
      </c>
      <c r="P231" t="s">
        <v>222</v>
      </c>
      <c r="S231">
        <v>0</v>
      </c>
      <c r="T231">
        <v>0</v>
      </c>
      <c r="U231">
        <v>0</v>
      </c>
      <c r="V231">
        <v>0</v>
      </c>
      <c r="W231">
        <v>0</v>
      </c>
      <c r="X231" s="140">
        <v>579</v>
      </c>
      <c r="Y231" s="209">
        <f t="shared" si="3"/>
        <v>579</v>
      </c>
      <c r="Z231">
        <v>0</v>
      </c>
      <c r="AE231"/>
      <c r="AF231"/>
      <c r="AG231" t="s">
        <v>223</v>
      </c>
      <c r="AN231" t="s">
        <v>218</v>
      </c>
      <c r="AO231" t="s">
        <v>224</v>
      </c>
      <c r="AP231" t="s">
        <v>225</v>
      </c>
      <c r="AQ231">
        <v>0.13</v>
      </c>
      <c r="AR231" t="s">
        <v>238</v>
      </c>
    </row>
    <row r="232" hidden="1" spans="1:44">
      <c r="A232" t="s">
        <v>105</v>
      </c>
      <c r="B232" t="s">
        <v>18</v>
      </c>
      <c r="C232" s="209" t="s">
        <v>19</v>
      </c>
      <c r="D232" s="210">
        <v>71020121070030</v>
      </c>
      <c r="E232" s="211">
        <v>44378</v>
      </c>
      <c r="F232" t="s">
        <v>218</v>
      </c>
      <c r="G232" t="s">
        <v>219</v>
      </c>
      <c r="H232">
        <v>7</v>
      </c>
      <c r="I232" t="s">
        <v>169</v>
      </c>
      <c r="J232" t="s">
        <v>244</v>
      </c>
      <c r="K232" t="s">
        <v>221</v>
      </c>
      <c r="L232">
        <v>6400</v>
      </c>
      <c r="M232" s="211">
        <v>44440</v>
      </c>
      <c r="N232" s="211">
        <v>44440</v>
      </c>
      <c r="O232" s="212" t="s">
        <v>241</v>
      </c>
      <c r="P232" t="s">
        <v>222</v>
      </c>
      <c r="S232">
        <v>0</v>
      </c>
      <c r="T232">
        <v>0</v>
      </c>
      <c r="U232">
        <v>0</v>
      </c>
      <c r="V232">
        <v>0</v>
      </c>
      <c r="W232">
        <v>0</v>
      </c>
      <c r="X232" s="140">
        <v>6400</v>
      </c>
      <c r="Y232" s="209">
        <f t="shared" si="3"/>
        <v>6400</v>
      </c>
      <c r="Z232">
        <v>0</v>
      </c>
      <c r="AE232"/>
      <c r="AF232"/>
      <c r="AG232" t="s">
        <v>223</v>
      </c>
      <c r="AN232" t="s">
        <v>218</v>
      </c>
      <c r="AO232" t="s">
        <v>224</v>
      </c>
      <c r="AP232" t="s">
        <v>225</v>
      </c>
      <c r="AQ232">
        <v>0.13</v>
      </c>
      <c r="AR232" t="s">
        <v>238</v>
      </c>
    </row>
    <row r="233" hidden="1" spans="1:44">
      <c r="A233" t="s">
        <v>105</v>
      </c>
      <c r="B233" t="s">
        <v>18</v>
      </c>
      <c r="C233" s="209" t="s">
        <v>19</v>
      </c>
      <c r="D233" s="210">
        <v>71020121070030</v>
      </c>
      <c r="E233" s="211">
        <v>44378</v>
      </c>
      <c r="F233" t="s">
        <v>218</v>
      </c>
      <c r="G233" t="s">
        <v>219</v>
      </c>
      <c r="H233">
        <v>8</v>
      </c>
      <c r="I233" t="s">
        <v>169</v>
      </c>
      <c r="J233" t="s">
        <v>244</v>
      </c>
      <c r="K233" t="s">
        <v>221</v>
      </c>
      <c r="L233">
        <v>2560</v>
      </c>
      <c r="M233" s="211">
        <v>44440</v>
      </c>
      <c r="N233" s="211">
        <v>44440</v>
      </c>
      <c r="O233" s="212" t="s">
        <v>241</v>
      </c>
      <c r="P233" t="s">
        <v>222</v>
      </c>
      <c r="S233">
        <v>0</v>
      </c>
      <c r="T233">
        <v>0</v>
      </c>
      <c r="U233">
        <v>0</v>
      </c>
      <c r="V233">
        <v>0</v>
      </c>
      <c r="W233">
        <v>0</v>
      </c>
      <c r="X233" s="140">
        <v>2560</v>
      </c>
      <c r="Y233" s="209">
        <f t="shared" si="3"/>
        <v>2560</v>
      </c>
      <c r="Z233">
        <v>0</v>
      </c>
      <c r="AE233"/>
      <c r="AF233"/>
      <c r="AG233" t="s">
        <v>223</v>
      </c>
      <c r="AN233" t="s">
        <v>218</v>
      </c>
      <c r="AO233" t="s">
        <v>224</v>
      </c>
      <c r="AP233" t="s">
        <v>225</v>
      </c>
      <c r="AQ233">
        <v>0.13</v>
      </c>
      <c r="AR233" t="s">
        <v>238</v>
      </c>
    </row>
    <row r="234" hidden="1" spans="1:44">
      <c r="A234" t="s">
        <v>105</v>
      </c>
      <c r="B234" t="s">
        <v>18</v>
      </c>
      <c r="C234" s="209" t="s">
        <v>19</v>
      </c>
      <c r="D234" s="210">
        <v>71020121070030</v>
      </c>
      <c r="E234" s="211">
        <v>44378</v>
      </c>
      <c r="F234" t="s">
        <v>218</v>
      </c>
      <c r="G234" t="s">
        <v>219</v>
      </c>
      <c r="H234">
        <v>9</v>
      </c>
      <c r="I234" t="s">
        <v>168</v>
      </c>
      <c r="J234" t="s">
        <v>220</v>
      </c>
      <c r="K234" t="s">
        <v>221</v>
      </c>
      <c r="L234">
        <v>3818</v>
      </c>
      <c r="M234" s="211">
        <v>44439</v>
      </c>
      <c r="N234" s="211">
        <v>44439</v>
      </c>
      <c r="O234" s="212" t="s">
        <v>227</v>
      </c>
      <c r="P234" t="s">
        <v>222</v>
      </c>
      <c r="S234">
        <v>0</v>
      </c>
      <c r="T234">
        <v>0</v>
      </c>
      <c r="U234">
        <v>0</v>
      </c>
      <c r="V234">
        <v>0</v>
      </c>
      <c r="W234">
        <v>0</v>
      </c>
      <c r="X234" s="140">
        <v>3818</v>
      </c>
      <c r="Y234" s="209">
        <f t="shared" si="3"/>
        <v>3818</v>
      </c>
      <c r="Z234">
        <v>0</v>
      </c>
      <c r="AE234"/>
      <c r="AF234"/>
      <c r="AG234" t="s">
        <v>223</v>
      </c>
      <c r="AN234" t="s">
        <v>218</v>
      </c>
      <c r="AO234" t="s">
        <v>224</v>
      </c>
      <c r="AP234" t="s">
        <v>225</v>
      </c>
      <c r="AQ234">
        <v>0.13</v>
      </c>
      <c r="AR234" t="s">
        <v>238</v>
      </c>
    </row>
    <row r="235" hidden="1" spans="1:44">
      <c r="A235" t="s">
        <v>105</v>
      </c>
      <c r="B235" t="s">
        <v>18</v>
      </c>
      <c r="C235" s="209" t="s">
        <v>19</v>
      </c>
      <c r="D235" s="210">
        <v>71020121070053</v>
      </c>
      <c r="E235" s="211">
        <v>44378</v>
      </c>
      <c r="F235" t="s">
        <v>218</v>
      </c>
      <c r="G235" t="s">
        <v>219</v>
      </c>
      <c r="H235">
        <v>1</v>
      </c>
      <c r="I235" t="s">
        <v>101</v>
      </c>
      <c r="J235" t="s">
        <v>220</v>
      </c>
      <c r="K235" t="s">
        <v>221</v>
      </c>
      <c r="L235">
        <v>3000</v>
      </c>
      <c r="M235" s="211">
        <v>44395</v>
      </c>
      <c r="N235" s="211">
        <v>44395</v>
      </c>
      <c r="O235" s="212" t="s">
        <v>60</v>
      </c>
      <c r="P235" t="s">
        <v>222</v>
      </c>
      <c r="S235">
        <v>0</v>
      </c>
      <c r="T235">
        <v>0</v>
      </c>
      <c r="U235">
        <v>0</v>
      </c>
      <c r="V235">
        <v>0</v>
      </c>
      <c r="W235">
        <v>0</v>
      </c>
      <c r="X235" s="140">
        <v>3000</v>
      </c>
      <c r="Y235" s="209">
        <f t="shared" si="3"/>
        <v>3000</v>
      </c>
      <c r="Z235">
        <v>0</v>
      </c>
      <c r="AE235"/>
      <c r="AF235"/>
      <c r="AG235" t="s">
        <v>223</v>
      </c>
      <c r="AN235" t="s">
        <v>218</v>
      </c>
      <c r="AO235" t="s">
        <v>224</v>
      </c>
      <c r="AP235" t="s">
        <v>225</v>
      </c>
      <c r="AQ235">
        <v>0.13</v>
      </c>
      <c r="AR235" t="s">
        <v>226</v>
      </c>
    </row>
    <row r="236" hidden="1" spans="1:44">
      <c r="A236" t="s">
        <v>105</v>
      </c>
      <c r="B236" t="s">
        <v>18</v>
      </c>
      <c r="C236" s="209" t="s">
        <v>19</v>
      </c>
      <c r="D236" s="210">
        <v>71020121070053</v>
      </c>
      <c r="E236" s="211">
        <v>44378</v>
      </c>
      <c r="F236" t="s">
        <v>218</v>
      </c>
      <c r="G236" t="s">
        <v>219</v>
      </c>
      <c r="H236">
        <v>2</v>
      </c>
      <c r="I236" t="s">
        <v>101</v>
      </c>
      <c r="J236" t="s">
        <v>220</v>
      </c>
      <c r="K236" t="s">
        <v>221</v>
      </c>
      <c r="L236">
        <v>2300</v>
      </c>
      <c r="M236" s="211">
        <v>44396</v>
      </c>
      <c r="N236" s="211">
        <v>44396</v>
      </c>
      <c r="O236" s="212" t="s">
        <v>60</v>
      </c>
      <c r="P236" t="s">
        <v>222</v>
      </c>
      <c r="S236">
        <v>0</v>
      </c>
      <c r="T236">
        <v>0</v>
      </c>
      <c r="U236">
        <v>0</v>
      </c>
      <c r="V236">
        <v>0</v>
      </c>
      <c r="W236">
        <v>0</v>
      </c>
      <c r="X236" s="140">
        <v>2300</v>
      </c>
      <c r="Y236" s="209">
        <f t="shared" si="3"/>
        <v>2300</v>
      </c>
      <c r="Z236">
        <v>0</v>
      </c>
      <c r="AE236"/>
      <c r="AF236"/>
      <c r="AG236" t="s">
        <v>223</v>
      </c>
      <c r="AN236" t="s">
        <v>218</v>
      </c>
      <c r="AO236" t="s">
        <v>224</v>
      </c>
      <c r="AP236" t="s">
        <v>225</v>
      </c>
      <c r="AQ236">
        <v>0.13</v>
      </c>
      <c r="AR236" t="s">
        <v>226</v>
      </c>
    </row>
    <row r="237" hidden="1" spans="1:44">
      <c r="A237" t="s">
        <v>105</v>
      </c>
      <c r="B237" t="s">
        <v>18</v>
      </c>
      <c r="C237" s="209" t="s">
        <v>19</v>
      </c>
      <c r="D237" s="210">
        <v>71020121070053</v>
      </c>
      <c r="E237" s="211">
        <v>44378</v>
      </c>
      <c r="F237" t="s">
        <v>218</v>
      </c>
      <c r="G237" t="s">
        <v>219</v>
      </c>
      <c r="H237">
        <v>3</v>
      </c>
      <c r="I237" t="s">
        <v>101</v>
      </c>
      <c r="J237" t="s">
        <v>220</v>
      </c>
      <c r="K237" t="s">
        <v>221</v>
      </c>
      <c r="L237">
        <v>1200</v>
      </c>
      <c r="M237" s="211">
        <v>44405</v>
      </c>
      <c r="N237" s="211">
        <v>44405</v>
      </c>
      <c r="O237" s="212" t="s">
        <v>60</v>
      </c>
      <c r="P237" t="s">
        <v>222</v>
      </c>
      <c r="S237">
        <v>0</v>
      </c>
      <c r="T237">
        <v>0</v>
      </c>
      <c r="U237">
        <v>0</v>
      </c>
      <c r="V237">
        <v>0</v>
      </c>
      <c r="W237">
        <v>0</v>
      </c>
      <c r="X237" s="140">
        <v>1200</v>
      </c>
      <c r="Y237" s="209">
        <f t="shared" si="3"/>
        <v>1200</v>
      </c>
      <c r="Z237">
        <v>0</v>
      </c>
      <c r="AE237"/>
      <c r="AF237"/>
      <c r="AG237" t="s">
        <v>223</v>
      </c>
      <c r="AN237" t="s">
        <v>218</v>
      </c>
      <c r="AO237" t="s">
        <v>224</v>
      </c>
      <c r="AP237" t="s">
        <v>225</v>
      </c>
      <c r="AQ237">
        <v>0.13</v>
      </c>
      <c r="AR237" t="s">
        <v>226</v>
      </c>
    </row>
    <row r="238" hidden="1" spans="1:44">
      <c r="A238" t="s">
        <v>105</v>
      </c>
      <c r="B238" t="s">
        <v>18</v>
      </c>
      <c r="C238" s="209" t="s">
        <v>19</v>
      </c>
      <c r="D238" s="210">
        <v>71020121070053</v>
      </c>
      <c r="E238" s="211">
        <v>44378</v>
      </c>
      <c r="F238" t="s">
        <v>218</v>
      </c>
      <c r="G238" t="s">
        <v>219</v>
      </c>
      <c r="H238">
        <v>4</v>
      </c>
      <c r="I238" t="s">
        <v>101</v>
      </c>
      <c r="J238" t="s">
        <v>220</v>
      </c>
      <c r="K238" t="s">
        <v>221</v>
      </c>
      <c r="L238">
        <v>3000</v>
      </c>
      <c r="M238" s="211">
        <v>44410</v>
      </c>
      <c r="N238" s="211">
        <v>44410</v>
      </c>
      <c r="O238" s="212" t="s">
        <v>227</v>
      </c>
      <c r="P238" t="s">
        <v>222</v>
      </c>
      <c r="S238">
        <v>0</v>
      </c>
      <c r="T238">
        <v>0</v>
      </c>
      <c r="U238">
        <v>0</v>
      </c>
      <c r="V238">
        <v>0</v>
      </c>
      <c r="W238">
        <v>0</v>
      </c>
      <c r="X238" s="140">
        <v>3000</v>
      </c>
      <c r="Y238" s="209">
        <f t="shared" si="3"/>
        <v>3000</v>
      </c>
      <c r="Z238">
        <v>0</v>
      </c>
      <c r="AE238"/>
      <c r="AF238"/>
      <c r="AG238" t="s">
        <v>223</v>
      </c>
      <c r="AN238" t="s">
        <v>218</v>
      </c>
      <c r="AO238" t="s">
        <v>224</v>
      </c>
      <c r="AP238" t="s">
        <v>225</v>
      </c>
      <c r="AQ238">
        <v>0.13</v>
      </c>
      <c r="AR238" t="s">
        <v>226</v>
      </c>
    </row>
    <row r="239" hidden="1" spans="1:44">
      <c r="A239" t="s">
        <v>105</v>
      </c>
      <c r="B239" t="s">
        <v>18</v>
      </c>
      <c r="C239" s="209" t="s">
        <v>19</v>
      </c>
      <c r="D239" s="210">
        <v>71020121070053</v>
      </c>
      <c r="E239" s="211">
        <v>44378</v>
      </c>
      <c r="F239" t="s">
        <v>218</v>
      </c>
      <c r="G239" t="s">
        <v>219</v>
      </c>
      <c r="H239">
        <v>5</v>
      </c>
      <c r="I239" t="s">
        <v>101</v>
      </c>
      <c r="J239" t="s">
        <v>220</v>
      </c>
      <c r="K239" t="s">
        <v>221</v>
      </c>
      <c r="L239">
        <v>3000</v>
      </c>
      <c r="M239" s="211">
        <v>44415</v>
      </c>
      <c r="N239" s="211">
        <v>44415</v>
      </c>
      <c r="O239" s="212" t="s">
        <v>227</v>
      </c>
      <c r="P239" t="s">
        <v>222</v>
      </c>
      <c r="S239">
        <v>0</v>
      </c>
      <c r="T239">
        <v>0</v>
      </c>
      <c r="U239">
        <v>0</v>
      </c>
      <c r="V239">
        <v>0</v>
      </c>
      <c r="W239">
        <v>0</v>
      </c>
      <c r="X239" s="140">
        <v>3000</v>
      </c>
      <c r="Y239" s="209">
        <f t="shared" si="3"/>
        <v>3000</v>
      </c>
      <c r="Z239">
        <v>0</v>
      </c>
      <c r="AE239"/>
      <c r="AF239"/>
      <c r="AG239" t="s">
        <v>223</v>
      </c>
      <c r="AN239" t="s">
        <v>218</v>
      </c>
      <c r="AO239" t="s">
        <v>224</v>
      </c>
      <c r="AP239" t="s">
        <v>225</v>
      </c>
      <c r="AQ239">
        <v>0.13</v>
      </c>
      <c r="AR239" t="s">
        <v>226</v>
      </c>
    </row>
    <row r="240" hidden="1" spans="1:44">
      <c r="A240" t="s">
        <v>105</v>
      </c>
      <c r="B240" t="s">
        <v>18</v>
      </c>
      <c r="C240" s="209" t="s">
        <v>19</v>
      </c>
      <c r="D240" s="210">
        <v>71020121070053</v>
      </c>
      <c r="E240" s="211">
        <v>44378</v>
      </c>
      <c r="F240" t="s">
        <v>218</v>
      </c>
      <c r="G240" t="s">
        <v>219</v>
      </c>
      <c r="H240">
        <v>6</v>
      </c>
      <c r="I240" t="s">
        <v>101</v>
      </c>
      <c r="J240" t="s">
        <v>220</v>
      </c>
      <c r="K240" t="s">
        <v>221</v>
      </c>
      <c r="L240">
        <v>800</v>
      </c>
      <c r="M240" s="211">
        <v>44416</v>
      </c>
      <c r="N240" s="211">
        <v>44416</v>
      </c>
      <c r="O240" s="212" t="s">
        <v>227</v>
      </c>
      <c r="P240" t="s">
        <v>222</v>
      </c>
      <c r="S240">
        <v>0</v>
      </c>
      <c r="T240">
        <v>0</v>
      </c>
      <c r="U240">
        <v>0</v>
      </c>
      <c r="V240">
        <v>0</v>
      </c>
      <c r="W240">
        <v>0</v>
      </c>
      <c r="X240" s="140">
        <v>800</v>
      </c>
      <c r="Y240" s="209">
        <f t="shared" si="3"/>
        <v>800</v>
      </c>
      <c r="Z240">
        <v>0</v>
      </c>
      <c r="AE240"/>
      <c r="AF240"/>
      <c r="AG240" t="s">
        <v>223</v>
      </c>
      <c r="AN240" t="s">
        <v>218</v>
      </c>
      <c r="AO240" t="s">
        <v>224</v>
      </c>
      <c r="AP240" t="s">
        <v>225</v>
      </c>
      <c r="AQ240">
        <v>0.13</v>
      </c>
      <c r="AR240" t="s">
        <v>226</v>
      </c>
    </row>
    <row r="241" hidden="1" spans="1:44">
      <c r="A241" t="s">
        <v>105</v>
      </c>
      <c r="B241" t="s">
        <v>18</v>
      </c>
      <c r="C241" s="209" t="s">
        <v>19</v>
      </c>
      <c r="D241" s="210">
        <v>71020121070344</v>
      </c>
      <c r="E241" s="211">
        <v>44384</v>
      </c>
      <c r="F241" t="s">
        <v>218</v>
      </c>
      <c r="G241" t="s">
        <v>219</v>
      </c>
      <c r="H241">
        <v>1</v>
      </c>
      <c r="I241" t="s">
        <v>165</v>
      </c>
      <c r="J241" t="s">
        <v>246</v>
      </c>
      <c r="K241" t="s">
        <v>221</v>
      </c>
      <c r="L241">
        <v>5500</v>
      </c>
      <c r="M241" s="211">
        <v>44421</v>
      </c>
      <c r="N241" s="211">
        <v>44425</v>
      </c>
      <c r="O241" s="212" t="s">
        <v>227</v>
      </c>
      <c r="P241" t="s">
        <v>222</v>
      </c>
      <c r="S241">
        <v>0</v>
      </c>
      <c r="T241">
        <v>0</v>
      </c>
      <c r="U241">
        <v>0</v>
      </c>
      <c r="V241">
        <v>0</v>
      </c>
      <c r="W241">
        <v>0</v>
      </c>
      <c r="X241" s="140">
        <v>5500</v>
      </c>
      <c r="Y241" s="209">
        <f t="shared" si="3"/>
        <v>5500</v>
      </c>
      <c r="Z241">
        <v>0</v>
      </c>
      <c r="AE241"/>
      <c r="AF241"/>
      <c r="AG241" t="s">
        <v>223</v>
      </c>
      <c r="AN241" t="s">
        <v>218</v>
      </c>
      <c r="AO241" t="s">
        <v>224</v>
      </c>
      <c r="AP241" t="s">
        <v>225</v>
      </c>
      <c r="AQ241">
        <v>0.13</v>
      </c>
      <c r="AR241" t="s">
        <v>226</v>
      </c>
    </row>
    <row r="242" hidden="1" spans="1:44">
      <c r="A242" t="s">
        <v>105</v>
      </c>
      <c r="B242" t="s">
        <v>18</v>
      </c>
      <c r="C242" s="209" t="s">
        <v>19</v>
      </c>
      <c r="D242" s="210">
        <v>71020121070344</v>
      </c>
      <c r="E242" s="211">
        <v>44384</v>
      </c>
      <c r="F242" t="s">
        <v>218</v>
      </c>
      <c r="G242" t="s">
        <v>219</v>
      </c>
      <c r="H242">
        <v>2</v>
      </c>
      <c r="I242" t="s">
        <v>165</v>
      </c>
      <c r="J242" t="s">
        <v>246</v>
      </c>
      <c r="K242" t="s">
        <v>221</v>
      </c>
      <c r="L242">
        <v>6000</v>
      </c>
      <c r="M242" s="211">
        <v>44420</v>
      </c>
      <c r="N242" s="211">
        <v>44422</v>
      </c>
      <c r="O242" s="212" t="s">
        <v>227</v>
      </c>
      <c r="P242" t="s">
        <v>222</v>
      </c>
      <c r="S242">
        <v>0</v>
      </c>
      <c r="T242">
        <v>0</v>
      </c>
      <c r="U242">
        <v>0</v>
      </c>
      <c r="V242">
        <v>0</v>
      </c>
      <c r="W242">
        <v>0</v>
      </c>
      <c r="X242" s="140">
        <v>6000</v>
      </c>
      <c r="Y242" s="209">
        <f t="shared" si="3"/>
        <v>6000</v>
      </c>
      <c r="Z242">
        <v>0</v>
      </c>
      <c r="AE242"/>
      <c r="AF242"/>
      <c r="AG242" t="s">
        <v>223</v>
      </c>
      <c r="AN242" t="s">
        <v>218</v>
      </c>
      <c r="AO242" t="s">
        <v>224</v>
      </c>
      <c r="AP242" t="s">
        <v>225</v>
      </c>
      <c r="AQ242">
        <v>0.13</v>
      </c>
      <c r="AR242" t="s">
        <v>226</v>
      </c>
    </row>
    <row r="243" hidden="1" spans="1:44">
      <c r="A243" t="s">
        <v>105</v>
      </c>
      <c r="B243" t="s">
        <v>18</v>
      </c>
      <c r="C243" s="209" t="s">
        <v>19</v>
      </c>
      <c r="D243" s="210">
        <v>71020121070344</v>
      </c>
      <c r="E243" s="211">
        <v>44384</v>
      </c>
      <c r="F243" t="s">
        <v>218</v>
      </c>
      <c r="G243" t="s">
        <v>219</v>
      </c>
      <c r="H243">
        <v>3</v>
      </c>
      <c r="I243" t="s">
        <v>101</v>
      </c>
      <c r="J243" t="s">
        <v>220</v>
      </c>
      <c r="K243" t="s">
        <v>221</v>
      </c>
      <c r="L243">
        <v>1900</v>
      </c>
      <c r="M243" s="211">
        <v>44407</v>
      </c>
      <c r="N243" s="211">
        <v>44407</v>
      </c>
      <c r="O243" s="212" t="s">
        <v>60</v>
      </c>
      <c r="P243" t="s">
        <v>222</v>
      </c>
      <c r="S243">
        <v>0</v>
      </c>
      <c r="T243">
        <v>0</v>
      </c>
      <c r="U243">
        <v>0</v>
      </c>
      <c r="V243">
        <v>0</v>
      </c>
      <c r="W243">
        <v>0</v>
      </c>
      <c r="X243" s="140">
        <v>1900</v>
      </c>
      <c r="Y243" s="209">
        <f t="shared" si="3"/>
        <v>1900</v>
      </c>
      <c r="Z243">
        <v>0</v>
      </c>
      <c r="AE243"/>
      <c r="AF243"/>
      <c r="AG243" t="s">
        <v>223</v>
      </c>
      <c r="AN243" t="s">
        <v>218</v>
      </c>
      <c r="AO243" t="s">
        <v>224</v>
      </c>
      <c r="AP243" t="s">
        <v>225</v>
      </c>
      <c r="AQ243">
        <v>0.13</v>
      </c>
      <c r="AR243" t="s">
        <v>226</v>
      </c>
    </row>
    <row r="244" hidden="1" spans="1:44">
      <c r="A244" t="s">
        <v>105</v>
      </c>
      <c r="B244" t="s">
        <v>18</v>
      </c>
      <c r="C244" s="209" t="s">
        <v>19</v>
      </c>
      <c r="D244" s="210">
        <v>71020121070344</v>
      </c>
      <c r="E244" s="211">
        <v>44384</v>
      </c>
      <c r="F244" t="s">
        <v>218</v>
      </c>
      <c r="G244" t="s">
        <v>219</v>
      </c>
      <c r="H244">
        <v>4</v>
      </c>
      <c r="I244" t="s">
        <v>101</v>
      </c>
      <c r="J244" t="s">
        <v>220</v>
      </c>
      <c r="K244" t="s">
        <v>221</v>
      </c>
      <c r="L244">
        <v>3000</v>
      </c>
      <c r="M244" s="211">
        <v>44405</v>
      </c>
      <c r="N244" s="211">
        <v>44405</v>
      </c>
      <c r="O244" s="212" t="s">
        <v>60</v>
      </c>
      <c r="P244" t="s">
        <v>222</v>
      </c>
      <c r="S244">
        <v>0</v>
      </c>
      <c r="T244">
        <v>0</v>
      </c>
      <c r="U244">
        <v>0</v>
      </c>
      <c r="V244">
        <v>0</v>
      </c>
      <c r="W244">
        <v>0</v>
      </c>
      <c r="X244" s="140">
        <v>3000</v>
      </c>
      <c r="Y244" s="209">
        <f t="shared" si="3"/>
        <v>3000</v>
      </c>
      <c r="Z244">
        <v>0</v>
      </c>
      <c r="AE244"/>
      <c r="AF244"/>
      <c r="AG244" t="s">
        <v>223</v>
      </c>
      <c r="AN244" t="s">
        <v>218</v>
      </c>
      <c r="AO244" t="s">
        <v>224</v>
      </c>
      <c r="AP244" t="s">
        <v>225</v>
      </c>
      <c r="AQ244">
        <v>0.13</v>
      </c>
      <c r="AR244" t="s">
        <v>226</v>
      </c>
    </row>
    <row r="245" hidden="1" spans="1:44">
      <c r="A245" t="s">
        <v>105</v>
      </c>
      <c r="B245" t="s">
        <v>18</v>
      </c>
      <c r="C245" s="209" t="s">
        <v>19</v>
      </c>
      <c r="D245" s="210">
        <v>71020121070344</v>
      </c>
      <c r="E245" s="211">
        <v>44384</v>
      </c>
      <c r="F245" t="s">
        <v>218</v>
      </c>
      <c r="G245" t="s">
        <v>219</v>
      </c>
      <c r="H245">
        <v>5</v>
      </c>
      <c r="I245" t="s">
        <v>101</v>
      </c>
      <c r="J245" t="s">
        <v>220</v>
      </c>
      <c r="K245" t="s">
        <v>221</v>
      </c>
      <c r="L245">
        <v>3000</v>
      </c>
      <c r="M245" s="211">
        <v>44404</v>
      </c>
      <c r="N245" s="211">
        <v>44404</v>
      </c>
      <c r="O245" s="212" t="s">
        <v>60</v>
      </c>
      <c r="P245" t="s">
        <v>222</v>
      </c>
      <c r="S245">
        <v>0</v>
      </c>
      <c r="T245">
        <v>0</v>
      </c>
      <c r="U245">
        <v>0</v>
      </c>
      <c r="V245">
        <v>0</v>
      </c>
      <c r="W245">
        <v>0</v>
      </c>
      <c r="X245" s="140">
        <v>3000</v>
      </c>
      <c r="Y245" s="209">
        <f t="shared" si="3"/>
        <v>3000</v>
      </c>
      <c r="Z245">
        <v>0</v>
      </c>
      <c r="AE245"/>
      <c r="AF245"/>
      <c r="AG245" t="s">
        <v>223</v>
      </c>
      <c r="AN245" t="s">
        <v>218</v>
      </c>
      <c r="AO245" t="s">
        <v>224</v>
      </c>
      <c r="AP245" t="s">
        <v>225</v>
      </c>
      <c r="AQ245">
        <v>0.13</v>
      </c>
      <c r="AR245" t="s">
        <v>226</v>
      </c>
    </row>
    <row r="246" hidden="1" spans="1:44">
      <c r="A246" t="s">
        <v>105</v>
      </c>
      <c r="B246" t="s">
        <v>18</v>
      </c>
      <c r="C246" s="209" t="s">
        <v>19</v>
      </c>
      <c r="D246" s="210">
        <v>71020121070344</v>
      </c>
      <c r="E246" s="211">
        <v>44384</v>
      </c>
      <c r="F246" t="s">
        <v>218</v>
      </c>
      <c r="G246" t="s">
        <v>219</v>
      </c>
      <c r="H246">
        <v>6</v>
      </c>
      <c r="I246" t="s">
        <v>101</v>
      </c>
      <c r="J246" t="s">
        <v>220</v>
      </c>
      <c r="K246" t="s">
        <v>221</v>
      </c>
      <c r="L246">
        <v>3000</v>
      </c>
      <c r="M246" s="211">
        <v>44403</v>
      </c>
      <c r="N246" s="211">
        <v>44403</v>
      </c>
      <c r="O246" s="212" t="s">
        <v>60</v>
      </c>
      <c r="P246" t="s">
        <v>222</v>
      </c>
      <c r="S246">
        <v>0</v>
      </c>
      <c r="T246">
        <v>0</v>
      </c>
      <c r="U246">
        <v>0</v>
      </c>
      <c r="V246">
        <v>0</v>
      </c>
      <c r="W246">
        <v>0</v>
      </c>
      <c r="X246" s="140">
        <v>3000</v>
      </c>
      <c r="Y246" s="209">
        <f t="shared" si="3"/>
        <v>3000</v>
      </c>
      <c r="Z246">
        <v>0</v>
      </c>
      <c r="AE246"/>
      <c r="AF246"/>
      <c r="AG246" t="s">
        <v>223</v>
      </c>
      <c r="AN246" t="s">
        <v>218</v>
      </c>
      <c r="AO246" t="s">
        <v>224</v>
      </c>
      <c r="AP246" t="s">
        <v>225</v>
      </c>
      <c r="AQ246">
        <v>0.13</v>
      </c>
      <c r="AR246" t="s">
        <v>226</v>
      </c>
    </row>
    <row r="247" hidden="1" spans="1:44">
      <c r="A247" t="s">
        <v>105</v>
      </c>
      <c r="B247" t="s">
        <v>18</v>
      </c>
      <c r="C247" s="209" t="s">
        <v>19</v>
      </c>
      <c r="D247" s="210">
        <v>71020121070344</v>
      </c>
      <c r="E247" s="211">
        <v>44384</v>
      </c>
      <c r="F247" t="s">
        <v>218</v>
      </c>
      <c r="G247" t="s">
        <v>219</v>
      </c>
      <c r="H247">
        <v>7</v>
      </c>
      <c r="I247" t="s">
        <v>101</v>
      </c>
      <c r="J247" t="s">
        <v>220</v>
      </c>
      <c r="K247" t="s">
        <v>221</v>
      </c>
      <c r="L247">
        <v>3000</v>
      </c>
      <c r="M247" s="211">
        <v>44402</v>
      </c>
      <c r="N247" s="211">
        <v>44402</v>
      </c>
      <c r="O247" s="212" t="s">
        <v>60</v>
      </c>
      <c r="P247" t="s">
        <v>222</v>
      </c>
      <c r="S247">
        <v>0</v>
      </c>
      <c r="T247">
        <v>0</v>
      </c>
      <c r="U247">
        <v>0</v>
      </c>
      <c r="V247">
        <v>0</v>
      </c>
      <c r="W247">
        <v>0</v>
      </c>
      <c r="X247" s="140">
        <v>3000</v>
      </c>
      <c r="Y247" s="209">
        <f t="shared" si="3"/>
        <v>3000</v>
      </c>
      <c r="Z247">
        <v>0</v>
      </c>
      <c r="AE247"/>
      <c r="AF247"/>
      <c r="AG247" t="s">
        <v>223</v>
      </c>
      <c r="AN247" t="s">
        <v>218</v>
      </c>
      <c r="AO247" t="s">
        <v>224</v>
      </c>
      <c r="AP247" t="s">
        <v>225</v>
      </c>
      <c r="AQ247">
        <v>0.13</v>
      </c>
      <c r="AR247" t="s">
        <v>226</v>
      </c>
    </row>
    <row r="248" hidden="1" spans="1:44">
      <c r="A248" t="s">
        <v>105</v>
      </c>
      <c r="B248" t="s">
        <v>18</v>
      </c>
      <c r="C248" s="209" t="s">
        <v>19</v>
      </c>
      <c r="D248" s="210">
        <v>71020121070344</v>
      </c>
      <c r="E248" s="211">
        <v>44384</v>
      </c>
      <c r="F248" t="s">
        <v>218</v>
      </c>
      <c r="G248" t="s">
        <v>219</v>
      </c>
      <c r="H248">
        <v>8</v>
      </c>
      <c r="I248" t="s">
        <v>165</v>
      </c>
      <c r="J248" t="s">
        <v>246</v>
      </c>
      <c r="K248" t="s">
        <v>221</v>
      </c>
      <c r="L248">
        <v>6000</v>
      </c>
      <c r="M248" s="211">
        <v>44419</v>
      </c>
      <c r="N248" s="211">
        <v>44421</v>
      </c>
      <c r="O248" s="212" t="s">
        <v>227</v>
      </c>
      <c r="P248" t="s">
        <v>222</v>
      </c>
      <c r="S248">
        <v>0</v>
      </c>
      <c r="T248">
        <v>0</v>
      </c>
      <c r="U248">
        <v>0</v>
      </c>
      <c r="V248">
        <v>0</v>
      </c>
      <c r="W248">
        <v>0</v>
      </c>
      <c r="X248" s="140">
        <v>6000</v>
      </c>
      <c r="Y248" s="209">
        <f t="shared" si="3"/>
        <v>6000</v>
      </c>
      <c r="Z248">
        <v>0</v>
      </c>
      <c r="AE248"/>
      <c r="AF248"/>
      <c r="AG248" t="s">
        <v>223</v>
      </c>
      <c r="AN248" t="s">
        <v>218</v>
      </c>
      <c r="AO248" t="s">
        <v>224</v>
      </c>
      <c r="AP248" t="s">
        <v>225</v>
      </c>
      <c r="AQ248">
        <v>0.13</v>
      </c>
      <c r="AR248" t="s">
        <v>226</v>
      </c>
    </row>
    <row r="249" hidden="1" spans="1:44">
      <c r="A249" t="s">
        <v>105</v>
      </c>
      <c r="B249" t="s">
        <v>18</v>
      </c>
      <c r="C249" s="209" t="s">
        <v>19</v>
      </c>
      <c r="D249" s="210">
        <v>71020121070344</v>
      </c>
      <c r="E249" s="211">
        <v>44384</v>
      </c>
      <c r="F249" t="s">
        <v>218</v>
      </c>
      <c r="G249" t="s">
        <v>219</v>
      </c>
      <c r="H249">
        <v>9</v>
      </c>
      <c r="I249" t="s">
        <v>165</v>
      </c>
      <c r="J249" t="s">
        <v>246</v>
      </c>
      <c r="K249" t="s">
        <v>221</v>
      </c>
      <c r="L249">
        <v>6000</v>
      </c>
      <c r="M249" s="211">
        <v>44418</v>
      </c>
      <c r="N249" s="211">
        <v>44420</v>
      </c>
      <c r="O249" s="212" t="s">
        <v>227</v>
      </c>
      <c r="P249" t="s">
        <v>222</v>
      </c>
      <c r="S249">
        <v>0</v>
      </c>
      <c r="T249">
        <v>0</v>
      </c>
      <c r="U249">
        <v>0</v>
      </c>
      <c r="V249">
        <v>0</v>
      </c>
      <c r="W249">
        <v>0</v>
      </c>
      <c r="X249" s="140">
        <v>6000</v>
      </c>
      <c r="Y249" s="209">
        <f t="shared" si="3"/>
        <v>6000</v>
      </c>
      <c r="Z249">
        <v>0</v>
      </c>
      <c r="AE249"/>
      <c r="AF249"/>
      <c r="AG249" t="s">
        <v>223</v>
      </c>
      <c r="AN249" t="s">
        <v>218</v>
      </c>
      <c r="AO249" t="s">
        <v>224</v>
      </c>
      <c r="AP249" t="s">
        <v>225</v>
      </c>
      <c r="AQ249">
        <v>0.13</v>
      </c>
      <c r="AR249" t="s">
        <v>226</v>
      </c>
    </row>
    <row r="250" hidden="1" spans="1:44">
      <c r="A250" t="s">
        <v>105</v>
      </c>
      <c r="B250" t="s">
        <v>18</v>
      </c>
      <c r="C250" s="209" t="s">
        <v>19</v>
      </c>
      <c r="D250" s="210">
        <v>71020121070344</v>
      </c>
      <c r="E250" s="211">
        <v>44384</v>
      </c>
      <c r="F250" t="s">
        <v>218</v>
      </c>
      <c r="G250" t="s">
        <v>219</v>
      </c>
      <c r="H250">
        <v>10</v>
      </c>
      <c r="I250" t="s">
        <v>165</v>
      </c>
      <c r="J250" t="s">
        <v>246</v>
      </c>
      <c r="K250" t="s">
        <v>221</v>
      </c>
      <c r="L250">
        <v>6000</v>
      </c>
      <c r="M250" s="211">
        <v>44417</v>
      </c>
      <c r="N250" s="211">
        <v>44419</v>
      </c>
      <c r="O250" s="212" t="s">
        <v>227</v>
      </c>
      <c r="P250" t="s">
        <v>222</v>
      </c>
      <c r="S250">
        <v>0</v>
      </c>
      <c r="T250">
        <v>0</v>
      </c>
      <c r="U250">
        <v>0</v>
      </c>
      <c r="V250">
        <v>0</v>
      </c>
      <c r="W250">
        <v>0</v>
      </c>
      <c r="X250" s="140">
        <v>6000</v>
      </c>
      <c r="Y250" s="209">
        <f t="shared" si="3"/>
        <v>6000</v>
      </c>
      <c r="Z250">
        <v>0</v>
      </c>
      <c r="AE250"/>
      <c r="AF250"/>
      <c r="AG250" t="s">
        <v>223</v>
      </c>
      <c r="AN250" t="s">
        <v>218</v>
      </c>
      <c r="AO250" t="s">
        <v>224</v>
      </c>
      <c r="AP250" t="s">
        <v>225</v>
      </c>
      <c r="AQ250">
        <v>0.13</v>
      </c>
      <c r="AR250" t="s">
        <v>226</v>
      </c>
    </row>
    <row r="251" hidden="1" spans="1:44">
      <c r="A251" t="s">
        <v>105</v>
      </c>
      <c r="B251" t="s">
        <v>18</v>
      </c>
      <c r="C251" s="209" t="s">
        <v>19</v>
      </c>
      <c r="D251" s="210">
        <v>71020121070344</v>
      </c>
      <c r="E251" s="211">
        <v>44384</v>
      </c>
      <c r="F251" t="s">
        <v>218</v>
      </c>
      <c r="G251" t="s">
        <v>219</v>
      </c>
      <c r="H251">
        <v>11</v>
      </c>
      <c r="I251" t="s">
        <v>165</v>
      </c>
      <c r="J251" t="s">
        <v>246</v>
      </c>
      <c r="K251" t="s">
        <v>221</v>
      </c>
      <c r="L251">
        <v>6000</v>
      </c>
      <c r="M251" s="211">
        <v>44416</v>
      </c>
      <c r="N251" s="211">
        <v>44418</v>
      </c>
      <c r="O251" s="212" t="s">
        <v>227</v>
      </c>
      <c r="P251" t="s">
        <v>222</v>
      </c>
      <c r="S251">
        <v>0</v>
      </c>
      <c r="T251">
        <v>0</v>
      </c>
      <c r="U251">
        <v>0</v>
      </c>
      <c r="V251">
        <v>0</v>
      </c>
      <c r="W251">
        <v>0</v>
      </c>
      <c r="X251" s="140">
        <v>6000</v>
      </c>
      <c r="Y251" s="209">
        <f t="shared" si="3"/>
        <v>6000</v>
      </c>
      <c r="Z251">
        <v>0</v>
      </c>
      <c r="AE251"/>
      <c r="AF251"/>
      <c r="AG251" t="s">
        <v>223</v>
      </c>
      <c r="AN251" t="s">
        <v>218</v>
      </c>
      <c r="AO251" t="s">
        <v>224</v>
      </c>
      <c r="AP251" t="s">
        <v>225</v>
      </c>
      <c r="AQ251">
        <v>0.13</v>
      </c>
      <c r="AR251" t="s">
        <v>226</v>
      </c>
    </row>
    <row r="252" hidden="1" spans="1:44">
      <c r="A252" t="s">
        <v>105</v>
      </c>
      <c r="B252" t="s">
        <v>18</v>
      </c>
      <c r="C252" s="209" t="s">
        <v>19</v>
      </c>
      <c r="D252" s="210">
        <v>71020121070344</v>
      </c>
      <c r="E252" s="211">
        <v>44384</v>
      </c>
      <c r="F252" t="s">
        <v>218</v>
      </c>
      <c r="G252" t="s">
        <v>219</v>
      </c>
      <c r="H252">
        <v>12</v>
      </c>
      <c r="I252" t="s">
        <v>165</v>
      </c>
      <c r="J252" t="s">
        <v>246</v>
      </c>
      <c r="K252" t="s">
        <v>221</v>
      </c>
      <c r="L252">
        <v>6000</v>
      </c>
      <c r="M252" s="211">
        <v>44415</v>
      </c>
      <c r="N252" s="211">
        <v>44417</v>
      </c>
      <c r="O252" s="212" t="s">
        <v>227</v>
      </c>
      <c r="P252" t="s">
        <v>222</v>
      </c>
      <c r="S252">
        <v>0</v>
      </c>
      <c r="T252">
        <v>0</v>
      </c>
      <c r="U252">
        <v>0</v>
      </c>
      <c r="V252">
        <v>0</v>
      </c>
      <c r="W252">
        <v>0</v>
      </c>
      <c r="X252" s="140">
        <v>6000</v>
      </c>
      <c r="Y252" s="209">
        <f t="shared" si="3"/>
        <v>6000</v>
      </c>
      <c r="Z252">
        <v>0</v>
      </c>
      <c r="AE252"/>
      <c r="AF252"/>
      <c r="AG252" t="s">
        <v>223</v>
      </c>
      <c r="AN252" t="s">
        <v>218</v>
      </c>
      <c r="AO252" t="s">
        <v>224</v>
      </c>
      <c r="AP252" t="s">
        <v>225</v>
      </c>
      <c r="AQ252">
        <v>0.13</v>
      </c>
      <c r="AR252" t="s">
        <v>226</v>
      </c>
    </row>
    <row r="253" hidden="1" spans="1:44">
      <c r="A253" t="s">
        <v>105</v>
      </c>
      <c r="B253" t="s">
        <v>18</v>
      </c>
      <c r="C253" s="209" t="s">
        <v>19</v>
      </c>
      <c r="D253" s="210">
        <v>71020121070344</v>
      </c>
      <c r="E253" s="211">
        <v>44384</v>
      </c>
      <c r="F253" t="s">
        <v>218</v>
      </c>
      <c r="G253" t="s">
        <v>219</v>
      </c>
      <c r="H253">
        <v>13</v>
      </c>
      <c r="I253" t="s">
        <v>165</v>
      </c>
      <c r="J253" t="s">
        <v>246</v>
      </c>
      <c r="K253" t="s">
        <v>221</v>
      </c>
      <c r="L253">
        <v>6000</v>
      </c>
      <c r="M253" s="211">
        <v>44411</v>
      </c>
      <c r="N253" s="211">
        <v>44413</v>
      </c>
      <c r="O253" s="212" t="s">
        <v>227</v>
      </c>
      <c r="P253" t="s">
        <v>222</v>
      </c>
      <c r="S253">
        <v>0</v>
      </c>
      <c r="T253">
        <v>0</v>
      </c>
      <c r="U253">
        <v>0</v>
      </c>
      <c r="V253">
        <v>0</v>
      </c>
      <c r="W253">
        <v>0</v>
      </c>
      <c r="X253" s="140">
        <v>6000</v>
      </c>
      <c r="Y253" s="209">
        <f t="shared" si="3"/>
        <v>6000</v>
      </c>
      <c r="Z253">
        <v>0</v>
      </c>
      <c r="AE253"/>
      <c r="AF253"/>
      <c r="AG253" t="s">
        <v>223</v>
      </c>
      <c r="AN253" t="s">
        <v>218</v>
      </c>
      <c r="AO253" t="s">
        <v>224</v>
      </c>
      <c r="AP253" t="s">
        <v>225</v>
      </c>
      <c r="AQ253">
        <v>0.13</v>
      </c>
      <c r="AR253" t="s">
        <v>226</v>
      </c>
    </row>
    <row r="254" hidden="1" spans="1:44">
      <c r="A254" t="s">
        <v>105</v>
      </c>
      <c r="B254" t="s">
        <v>18</v>
      </c>
      <c r="C254" s="209" t="s">
        <v>19</v>
      </c>
      <c r="D254" s="210">
        <v>71020121070344</v>
      </c>
      <c r="E254" s="211">
        <v>44384</v>
      </c>
      <c r="F254" t="s">
        <v>218</v>
      </c>
      <c r="G254" t="s">
        <v>219</v>
      </c>
      <c r="H254">
        <v>14</v>
      </c>
      <c r="I254" t="s">
        <v>165</v>
      </c>
      <c r="J254" t="s">
        <v>246</v>
      </c>
      <c r="K254" t="s">
        <v>221</v>
      </c>
      <c r="L254">
        <v>6000</v>
      </c>
      <c r="M254" s="211">
        <v>44410</v>
      </c>
      <c r="N254" s="211">
        <v>44412</v>
      </c>
      <c r="O254" s="212" t="s">
        <v>227</v>
      </c>
      <c r="P254" t="s">
        <v>222</v>
      </c>
      <c r="S254">
        <v>0</v>
      </c>
      <c r="T254">
        <v>0</v>
      </c>
      <c r="U254">
        <v>0</v>
      </c>
      <c r="V254">
        <v>0</v>
      </c>
      <c r="W254">
        <v>0</v>
      </c>
      <c r="X254" s="140">
        <v>6000</v>
      </c>
      <c r="Y254" s="209">
        <f t="shared" si="3"/>
        <v>6000</v>
      </c>
      <c r="Z254">
        <v>0</v>
      </c>
      <c r="AE254"/>
      <c r="AF254"/>
      <c r="AG254" t="s">
        <v>223</v>
      </c>
      <c r="AN254" t="s">
        <v>218</v>
      </c>
      <c r="AO254" t="s">
        <v>224</v>
      </c>
      <c r="AP254" t="s">
        <v>225</v>
      </c>
      <c r="AQ254">
        <v>0.13</v>
      </c>
      <c r="AR254" t="s">
        <v>226</v>
      </c>
    </row>
    <row r="255" hidden="1" spans="1:44">
      <c r="A255" t="s">
        <v>105</v>
      </c>
      <c r="B255" t="s">
        <v>18</v>
      </c>
      <c r="C255" s="209" t="s">
        <v>19</v>
      </c>
      <c r="D255" s="210">
        <v>71020121070344</v>
      </c>
      <c r="E255" s="211">
        <v>44384</v>
      </c>
      <c r="F255" t="s">
        <v>218</v>
      </c>
      <c r="G255" t="s">
        <v>219</v>
      </c>
      <c r="H255">
        <v>15</v>
      </c>
      <c r="I255" t="s">
        <v>165</v>
      </c>
      <c r="J255" t="s">
        <v>246</v>
      </c>
      <c r="K255" t="s">
        <v>221</v>
      </c>
      <c r="L255">
        <v>6000</v>
      </c>
      <c r="M255" s="211">
        <v>44409</v>
      </c>
      <c r="N255" s="211">
        <v>44411</v>
      </c>
      <c r="O255" s="212" t="s">
        <v>227</v>
      </c>
      <c r="P255" t="s">
        <v>222</v>
      </c>
      <c r="S255">
        <v>0</v>
      </c>
      <c r="T255">
        <v>0</v>
      </c>
      <c r="U255">
        <v>0</v>
      </c>
      <c r="V255">
        <v>0</v>
      </c>
      <c r="W255">
        <v>0</v>
      </c>
      <c r="X255" s="140">
        <v>6000</v>
      </c>
      <c r="Y255" s="209">
        <f t="shared" si="3"/>
        <v>6000</v>
      </c>
      <c r="Z255">
        <v>0</v>
      </c>
      <c r="AE255"/>
      <c r="AF255"/>
      <c r="AG255" t="s">
        <v>223</v>
      </c>
      <c r="AN255" t="s">
        <v>218</v>
      </c>
      <c r="AO255" t="s">
        <v>224</v>
      </c>
      <c r="AP255" t="s">
        <v>225</v>
      </c>
      <c r="AQ255">
        <v>0.13</v>
      </c>
      <c r="AR255" t="s">
        <v>226</v>
      </c>
    </row>
    <row r="256" hidden="1" spans="1:44">
      <c r="A256" t="s">
        <v>105</v>
      </c>
      <c r="B256" t="s">
        <v>18</v>
      </c>
      <c r="C256" s="209" t="s">
        <v>19</v>
      </c>
      <c r="D256" s="210">
        <v>71020121070344</v>
      </c>
      <c r="E256" s="211">
        <v>44384</v>
      </c>
      <c r="F256" t="s">
        <v>218</v>
      </c>
      <c r="G256" t="s">
        <v>219</v>
      </c>
      <c r="H256">
        <v>16</v>
      </c>
      <c r="I256" t="s">
        <v>162</v>
      </c>
      <c r="J256" t="s">
        <v>220</v>
      </c>
      <c r="K256" t="s">
        <v>221</v>
      </c>
      <c r="L256">
        <v>2300</v>
      </c>
      <c r="M256" s="211">
        <v>44397</v>
      </c>
      <c r="N256" s="211">
        <v>44397</v>
      </c>
      <c r="O256" s="212" t="s">
        <v>60</v>
      </c>
      <c r="P256" t="s">
        <v>222</v>
      </c>
      <c r="S256">
        <v>0</v>
      </c>
      <c r="T256">
        <v>0</v>
      </c>
      <c r="U256">
        <v>0</v>
      </c>
      <c r="V256">
        <v>0</v>
      </c>
      <c r="W256">
        <v>0</v>
      </c>
      <c r="X256" s="140">
        <v>2300</v>
      </c>
      <c r="Y256" s="209">
        <f t="shared" si="3"/>
        <v>2300</v>
      </c>
      <c r="Z256">
        <v>0</v>
      </c>
      <c r="AE256"/>
      <c r="AF256"/>
      <c r="AG256" t="s">
        <v>223</v>
      </c>
      <c r="AN256" t="s">
        <v>218</v>
      </c>
      <c r="AO256" t="s">
        <v>224</v>
      </c>
      <c r="AP256" t="s">
        <v>225</v>
      </c>
      <c r="AQ256">
        <v>0.13</v>
      </c>
      <c r="AR256" t="s">
        <v>226</v>
      </c>
    </row>
    <row r="257" hidden="1" spans="1:44">
      <c r="A257" t="s">
        <v>105</v>
      </c>
      <c r="B257" t="s">
        <v>34</v>
      </c>
      <c r="C257" s="209" t="s">
        <v>35</v>
      </c>
      <c r="D257" s="210">
        <v>71020121031926</v>
      </c>
      <c r="E257" s="211">
        <v>44306</v>
      </c>
      <c r="F257" t="s">
        <v>218</v>
      </c>
      <c r="G257" t="s">
        <v>219</v>
      </c>
      <c r="H257">
        <v>3</v>
      </c>
      <c r="I257" t="s">
        <v>113</v>
      </c>
      <c r="J257" t="s">
        <v>220</v>
      </c>
      <c r="K257" t="s">
        <v>221</v>
      </c>
      <c r="L257">
        <v>2400</v>
      </c>
      <c r="M257" s="211">
        <v>44305</v>
      </c>
      <c r="N257" s="211">
        <v>44367</v>
      </c>
      <c r="O257" s="212" t="s">
        <v>60</v>
      </c>
      <c r="P257" t="s">
        <v>222</v>
      </c>
      <c r="S257">
        <v>0</v>
      </c>
      <c r="T257">
        <v>0</v>
      </c>
      <c r="U257">
        <v>0</v>
      </c>
      <c r="V257">
        <v>0</v>
      </c>
      <c r="W257">
        <v>0</v>
      </c>
      <c r="X257" s="140">
        <v>2400</v>
      </c>
      <c r="Y257" s="209">
        <f t="shared" si="3"/>
        <v>2400</v>
      </c>
      <c r="Z257">
        <v>0</v>
      </c>
      <c r="AE257"/>
      <c r="AF257"/>
      <c r="AG257" t="s">
        <v>223</v>
      </c>
      <c r="AN257" t="s">
        <v>218</v>
      </c>
      <c r="AO257" t="s">
        <v>224</v>
      </c>
      <c r="AP257" t="s">
        <v>251</v>
      </c>
      <c r="AQ257">
        <v>0.13</v>
      </c>
      <c r="AR257" t="s">
        <v>226</v>
      </c>
    </row>
    <row r="258" hidden="1" spans="1:44">
      <c r="A258" t="s">
        <v>105</v>
      </c>
      <c r="B258" t="s">
        <v>34</v>
      </c>
      <c r="C258" s="209" t="s">
        <v>35</v>
      </c>
      <c r="D258" s="210">
        <v>71020121031926</v>
      </c>
      <c r="E258" s="211">
        <v>44306</v>
      </c>
      <c r="F258" t="s">
        <v>218</v>
      </c>
      <c r="G258" t="s">
        <v>219</v>
      </c>
      <c r="H258">
        <v>4</v>
      </c>
      <c r="I258" t="s">
        <v>113</v>
      </c>
      <c r="J258" t="s">
        <v>220</v>
      </c>
      <c r="K258" t="s">
        <v>221</v>
      </c>
      <c r="L258">
        <v>3500</v>
      </c>
      <c r="M258" s="211">
        <v>44300</v>
      </c>
      <c r="N258" s="211">
        <v>44367</v>
      </c>
      <c r="O258" s="212" t="s">
        <v>60</v>
      </c>
      <c r="P258" t="s">
        <v>222</v>
      </c>
      <c r="S258">
        <v>144</v>
      </c>
      <c r="T258">
        <v>144</v>
      </c>
      <c r="U258">
        <v>0</v>
      </c>
      <c r="V258">
        <v>144</v>
      </c>
      <c r="W258">
        <v>0</v>
      </c>
      <c r="X258" s="140">
        <v>3356</v>
      </c>
      <c r="Y258" s="209">
        <f t="shared" si="3"/>
        <v>3356</v>
      </c>
      <c r="Z258">
        <v>0</v>
      </c>
      <c r="AE258">
        <v>44365</v>
      </c>
      <c r="AF258">
        <v>44366</v>
      </c>
      <c r="AG258" t="s">
        <v>223</v>
      </c>
      <c r="AN258" t="s">
        <v>218</v>
      </c>
      <c r="AO258" t="s">
        <v>224</v>
      </c>
      <c r="AP258" t="s">
        <v>251</v>
      </c>
      <c r="AQ258">
        <v>0.13</v>
      </c>
      <c r="AR258" t="s">
        <v>226</v>
      </c>
    </row>
    <row r="259" hidden="1" spans="1:44">
      <c r="A259" t="s">
        <v>105</v>
      </c>
      <c r="B259" t="s">
        <v>34</v>
      </c>
      <c r="C259" s="209" t="s">
        <v>35</v>
      </c>
      <c r="D259" s="210">
        <v>71020121032241</v>
      </c>
      <c r="E259" s="211">
        <v>44313</v>
      </c>
      <c r="F259" t="s">
        <v>218</v>
      </c>
      <c r="G259" t="s">
        <v>219</v>
      </c>
      <c r="H259">
        <v>19</v>
      </c>
      <c r="I259" t="s">
        <v>107</v>
      </c>
      <c r="J259" t="s">
        <v>220</v>
      </c>
      <c r="K259" t="s">
        <v>221</v>
      </c>
      <c r="L259">
        <v>4300</v>
      </c>
      <c r="M259" s="211">
        <v>44345</v>
      </c>
      <c r="N259" s="211">
        <v>44343</v>
      </c>
      <c r="O259" s="212" t="s">
        <v>60</v>
      </c>
      <c r="P259" t="s">
        <v>222</v>
      </c>
      <c r="S259">
        <v>4281</v>
      </c>
      <c r="T259">
        <v>4281</v>
      </c>
      <c r="U259">
        <v>0</v>
      </c>
      <c r="V259">
        <v>4281</v>
      </c>
      <c r="W259">
        <v>4281</v>
      </c>
      <c r="X259" s="140">
        <v>19</v>
      </c>
      <c r="Y259" s="209">
        <f t="shared" ref="Y259:Y322" si="4">L259-S259</f>
        <v>19</v>
      </c>
      <c r="Z259">
        <v>0</v>
      </c>
      <c r="AE259">
        <v>44342</v>
      </c>
      <c r="AF259">
        <v>44343</v>
      </c>
      <c r="AG259" t="s">
        <v>223</v>
      </c>
      <c r="AN259" t="s">
        <v>218</v>
      </c>
      <c r="AO259" t="s">
        <v>224</v>
      </c>
      <c r="AP259" t="s">
        <v>251</v>
      </c>
      <c r="AQ259">
        <v>0.13</v>
      </c>
      <c r="AR259" t="s">
        <v>226</v>
      </c>
    </row>
    <row r="260" hidden="1" spans="1:44">
      <c r="A260" t="s">
        <v>105</v>
      </c>
      <c r="B260" t="s">
        <v>34</v>
      </c>
      <c r="C260" s="209" t="s">
        <v>35</v>
      </c>
      <c r="D260" s="210">
        <v>71020121032241</v>
      </c>
      <c r="E260" s="211">
        <v>44313</v>
      </c>
      <c r="F260" t="s">
        <v>218</v>
      </c>
      <c r="G260" t="s">
        <v>219</v>
      </c>
      <c r="H260">
        <v>22</v>
      </c>
      <c r="I260" t="s">
        <v>108</v>
      </c>
      <c r="J260" t="s">
        <v>220</v>
      </c>
      <c r="K260" t="s">
        <v>221</v>
      </c>
      <c r="L260">
        <v>5000</v>
      </c>
      <c r="M260" s="211">
        <v>44345</v>
      </c>
      <c r="N260" s="211">
        <v>44392</v>
      </c>
      <c r="O260" s="212" t="s">
        <v>60</v>
      </c>
      <c r="P260" t="s">
        <v>222</v>
      </c>
      <c r="S260">
        <v>2380</v>
      </c>
      <c r="T260">
        <v>2380</v>
      </c>
      <c r="U260">
        <v>0</v>
      </c>
      <c r="V260">
        <v>2380</v>
      </c>
      <c r="W260">
        <v>0</v>
      </c>
      <c r="X260" s="140">
        <v>2620</v>
      </c>
      <c r="Y260" s="209">
        <f t="shared" si="4"/>
        <v>2620</v>
      </c>
      <c r="Z260">
        <v>0</v>
      </c>
      <c r="AE260">
        <v>44363</v>
      </c>
      <c r="AF260">
        <v>44364</v>
      </c>
      <c r="AG260" t="s">
        <v>223</v>
      </c>
      <c r="AN260" t="s">
        <v>218</v>
      </c>
      <c r="AO260" t="s">
        <v>224</v>
      </c>
      <c r="AP260" t="s">
        <v>251</v>
      </c>
      <c r="AQ260">
        <v>0.13</v>
      </c>
      <c r="AR260" t="s">
        <v>226</v>
      </c>
    </row>
    <row r="261" hidden="1" spans="1:44">
      <c r="A261" t="s">
        <v>105</v>
      </c>
      <c r="B261" t="s">
        <v>34</v>
      </c>
      <c r="C261" s="209" t="s">
        <v>35</v>
      </c>
      <c r="D261" s="210">
        <v>71020121032241</v>
      </c>
      <c r="E261" s="211">
        <v>44313</v>
      </c>
      <c r="F261" t="s">
        <v>218</v>
      </c>
      <c r="G261" t="s">
        <v>219</v>
      </c>
      <c r="H261">
        <v>23</v>
      </c>
      <c r="I261" t="s">
        <v>108</v>
      </c>
      <c r="J261" t="s">
        <v>220</v>
      </c>
      <c r="K261" t="s">
        <v>221</v>
      </c>
      <c r="L261">
        <v>5000</v>
      </c>
      <c r="M261" s="211">
        <v>44344</v>
      </c>
      <c r="N261" s="211">
        <v>44363</v>
      </c>
      <c r="O261" s="212" t="s">
        <v>60</v>
      </c>
      <c r="P261" t="s">
        <v>222</v>
      </c>
      <c r="S261">
        <v>0</v>
      </c>
      <c r="T261">
        <v>0</v>
      </c>
      <c r="U261">
        <v>0</v>
      </c>
      <c r="V261">
        <v>0</v>
      </c>
      <c r="W261">
        <v>0</v>
      </c>
      <c r="X261" s="140">
        <v>5000</v>
      </c>
      <c r="Y261" s="209">
        <f t="shared" si="4"/>
        <v>5000</v>
      </c>
      <c r="Z261">
        <v>0</v>
      </c>
      <c r="AE261"/>
      <c r="AF261"/>
      <c r="AG261" t="s">
        <v>223</v>
      </c>
      <c r="AN261" t="s">
        <v>218</v>
      </c>
      <c r="AO261" t="s">
        <v>224</v>
      </c>
      <c r="AP261" t="s">
        <v>251</v>
      </c>
      <c r="AQ261">
        <v>0.13</v>
      </c>
      <c r="AR261" t="s">
        <v>226</v>
      </c>
    </row>
    <row r="262" hidden="1" spans="1:44">
      <c r="A262" t="s">
        <v>105</v>
      </c>
      <c r="B262" t="s">
        <v>34</v>
      </c>
      <c r="C262" s="209" t="s">
        <v>35</v>
      </c>
      <c r="D262" s="210">
        <v>71020121032241</v>
      </c>
      <c r="E262" s="211">
        <v>44313</v>
      </c>
      <c r="F262" t="s">
        <v>218</v>
      </c>
      <c r="G262" t="s">
        <v>219</v>
      </c>
      <c r="H262">
        <v>24</v>
      </c>
      <c r="I262" t="s">
        <v>108</v>
      </c>
      <c r="J262" t="s">
        <v>220</v>
      </c>
      <c r="K262" t="s">
        <v>221</v>
      </c>
      <c r="L262">
        <v>5000</v>
      </c>
      <c r="M262" s="211">
        <v>44343</v>
      </c>
      <c r="N262" s="211">
        <v>44392</v>
      </c>
      <c r="O262" s="212" t="s">
        <v>60</v>
      </c>
      <c r="P262" t="s">
        <v>222</v>
      </c>
      <c r="S262">
        <v>3147</v>
      </c>
      <c r="T262">
        <v>3147</v>
      </c>
      <c r="U262">
        <v>0</v>
      </c>
      <c r="V262">
        <v>3147</v>
      </c>
      <c r="W262">
        <v>0</v>
      </c>
      <c r="X262" s="140">
        <v>1853</v>
      </c>
      <c r="Y262" s="209">
        <f t="shared" si="4"/>
        <v>1853</v>
      </c>
      <c r="Z262">
        <v>0</v>
      </c>
      <c r="AE262">
        <v>44363</v>
      </c>
      <c r="AF262">
        <v>44364</v>
      </c>
      <c r="AG262" t="s">
        <v>223</v>
      </c>
      <c r="AN262" t="s">
        <v>218</v>
      </c>
      <c r="AO262" t="s">
        <v>224</v>
      </c>
      <c r="AP262" t="s">
        <v>251</v>
      </c>
      <c r="AQ262">
        <v>0.13</v>
      </c>
      <c r="AR262" t="s">
        <v>226</v>
      </c>
    </row>
    <row r="263" hidden="1" spans="1:44">
      <c r="A263" t="s">
        <v>105</v>
      </c>
      <c r="B263" t="s">
        <v>34</v>
      </c>
      <c r="C263" s="209" t="s">
        <v>35</v>
      </c>
      <c r="D263" s="210">
        <v>71020121050653</v>
      </c>
      <c r="E263" s="211">
        <v>44329</v>
      </c>
      <c r="F263" t="s">
        <v>218</v>
      </c>
      <c r="G263" t="s">
        <v>219</v>
      </c>
      <c r="H263">
        <v>5</v>
      </c>
      <c r="I263" t="s">
        <v>119</v>
      </c>
      <c r="J263" t="s">
        <v>220</v>
      </c>
      <c r="K263" t="s">
        <v>221</v>
      </c>
      <c r="L263">
        <v>5800</v>
      </c>
      <c r="M263" s="211">
        <v>44377</v>
      </c>
      <c r="N263" s="211">
        <v>44385</v>
      </c>
      <c r="O263" s="212" t="s">
        <v>60</v>
      </c>
      <c r="P263" t="s">
        <v>222</v>
      </c>
      <c r="S263">
        <v>1422</v>
      </c>
      <c r="T263">
        <v>1422</v>
      </c>
      <c r="U263">
        <v>0</v>
      </c>
      <c r="V263">
        <v>1422</v>
      </c>
      <c r="W263">
        <v>0</v>
      </c>
      <c r="X263" s="140">
        <v>4378</v>
      </c>
      <c r="Y263" s="209">
        <f t="shared" si="4"/>
        <v>4378</v>
      </c>
      <c r="Z263">
        <v>0</v>
      </c>
      <c r="AE263">
        <v>44385</v>
      </c>
      <c r="AF263">
        <v>44386</v>
      </c>
      <c r="AG263" t="s">
        <v>223</v>
      </c>
      <c r="AN263" t="s">
        <v>218</v>
      </c>
      <c r="AO263" t="s">
        <v>224</v>
      </c>
      <c r="AP263" t="s">
        <v>251</v>
      </c>
      <c r="AQ263">
        <v>0.13</v>
      </c>
      <c r="AR263" t="s">
        <v>226</v>
      </c>
    </row>
    <row r="264" hidden="1" spans="1:44">
      <c r="A264" t="s">
        <v>105</v>
      </c>
      <c r="B264" t="s">
        <v>34</v>
      </c>
      <c r="C264" s="209" t="s">
        <v>35</v>
      </c>
      <c r="D264" s="210">
        <v>71020121050870</v>
      </c>
      <c r="E264" s="211">
        <v>44335</v>
      </c>
      <c r="F264" t="s">
        <v>218</v>
      </c>
      <c r="G264" t="s">
        <v>219</v>
      </c>
      <c r="H264">
        <v>1</v>
      </c>
      <c r="I264" t="s">
        <v>110</v>
      </c>
      <c r="J264" t="s">
        <v>220</v>
      </c>
      <c r="K264" t="s">
        <v>221</v>
      </c>
      <c r="L264">
        <v>1600</v>
      </c>
      <c r="M264" s="211">
        <v>44356</v>
      </c>
      <c r="N264" s="211">
        <v>44389</v>
      </c>
      <c r="O264" s="212" t="s">
        <v>60</v>
      </c>
      <c r="P264" t="s">
        <v>222</v>
      </c>
      <c r="S264">
        <v>1391</v>
      </c>
      <c r="T264">
        <v>1391</v>
      </c>
      <c r="U264">
        <v>0</v>
      </c>
      <c r="V264">
        <v>1391</v>
      </c>
      <c r="W264">
        <v>0</v>
      </c>
      <c r="X264" s="140">
        <v>209</v>
      </c>
      <c r="Y264" s="209">
        <f t="shared" si="4"/>
        <v>209</v>
      </c>
      <c r="Z264">
        <v>0</v>
      </c>
      <c r="AE264">
        <v>44388</v>
      </c>
      <c r="AF264">
        <v>44390</v>
      </c>
      <c r="AG264" t="s">
        <v>223</v>
      </c>
      <c r="AN264" t="s">
        <v>218</v>
      </c>
      <c r="AO264" t="s">
        <v>224</v>
      </c>
      <c r="AP264" t="s">
        <v>251</v>
      </c>
      <c r="AQ264">
        <v>0.13</v>
      </c>
      <c r="AR264" t="s">
        <v>226</v>
      </c>
    </row>
    <row r="265" hidden="1" spans="1:44">
      <c r="A265" t="s">
        <v>105</v>
      </c>
      <c r="B265" t="s">
        <v>34</v>
      </c>
      <c r="C265" s="209" t="s">
        <v>35</v>
      </c>
      <c r="D265" s="210">
        <v>71020121050870</v>
      </c>
      <c r="E265" s="211">
        <v>44335</v>
      </c>
      <c r="F265" t="s">
        <v>218</v>
      </c>
      <c r="G265" t="s">
        <v>219</v>
      </c>
      <c r="H265">
        <v>11</v>
      </c>
      <c r="I265" t="s">
        <v>108</v>
      </c>
      <c r="J265" t="s">
        <v>220</v>
      </c>
      <c r="K265" t="s">
        <v>221</v>
      </c>
      <c r="L265">
        <v>3600</v>
      </c>
      <c r="M265" s="211">
        <v>44348</v>
      </c>
      <c r="N265" s="211">
        <v>44392</v>
      </c>
      <c r="O265" s="212" t="s">
        <v>60</v>
      </c>
      <c r="P265" t="s">
        <v>222</v>
      </c>
      <c r="S265">
        <v>3218</v>
      </c>
      <c r="T265">
        <v>3218</v>
      </c>
      <c r="U265">
        <v>0</v>
      </c>
      <c r="V265">
        <v>2378</v>
      </c>
      <c r="W265">
        <v>0</v>
      </c>
      <c r="X265" s="140">
        <v>1222</v>
      </c>
      <c r="Y265" s="209">
        <f t="shared" si="4"/>
        <v>382</v>
      </c>
      <c r="Z265">
        <v>0</v>
      </c>
      <c r="AE265">
        <v>44392</v>
      </c>
      <c r="AF265">
        <v>44366</v>
      </c>
      <c r="AG265" t="s">
        <v>223</v>
      </c>
      <c r="AN265" t="s">
        <v>218</v>
      </c>
      <c r="AO265" t="s">
        <v>224</v>
      </c>
      <c r="AP265" t="s">
        <v>251</v>
      </c>
      <c r="AQ265">
        <v>0.13</v>
      </c>
      <c r="AR265" t="s">
        <v>226</v>
      </c>
    </row>
    <row r="266" hidden="1" spans="1:44">
      <c r="A266" t="s">
        <v>105</v>
      </c>
      <c r="B266" t="s">
        <v>34</v>
      </c>
      <c r="C266" s="209" t="s">
        <v>35</v>
      </c>
      <c r="D266" s="210">
        <v>71020121050870</v>
      </c>
      <c r="E266" s="211">
        <v>44335</v>
      </c>
      <c r="F266" t="s">
        <v>218</v>
      </c>
      <c r="G266" t="s">
        <v>219</v>
      </c>
      <c r="H266">
        <v>12</v>
      </c>
      <c r="I266" t="s">
        <v>108</v>
      </c>
      <c r="J266" t="s">
        <v>220</v>
      </c>
      <c r="K266" t="s">
        <v>221</v>
      </c>
      <c r="L266">
        <v>5000</v>
      </c>
      <c r="M266" s="211">
        <v>44347</v>
      </c>
      <c r="N266" s="211">
        <v>44392</v>
      </c>
      <c r="O266" s="212" t="s">
        <v>60</v>
      </c>
      <c r="P266" t="s">
        <v>222</v>
      </c>
      <c r="S266">
        <v>2520</v>
      </c>
      <c r="T266">
        <v>2520</v>
      </c>
      <c r="U266">
        <v>0</v>
      </c>
      <c r="V266">
        <v>2520</v>
      </c>
      <c r="W266">
        <v>0</v>
      </c>
      <c r="X266" s="140">
        <v>2480</v>
      </c>
      <c r="Y266" s="209">
        <f t="shared" si="4"/>
        <v>2480</v>
      </c>
      <c r="Z266">
        <v>0</v>
      </c>
      <c r="AE266">
        <v>44388</v>
      </c>
      <c r="AF266">
        <v>44390</v>
      </c>
      <c r="AG266" t="s">
        <v>223</v>
      </c>
      <c r="AN266" t="s">
        <v>218</v>
      </c>
      <c r="AO266" t="s">
        <v>224</v>
      </c>
      <c r="AP266" t="s">
        <v>251</v>
      </c>
      <c r="AQ266">
        <v>0.13</v>
      </c>
      <c r="AR266" t="s">
        <v>226</v>
      </c>
    </row>
    <row r="267" hidden="1" spans="1:44">
      <c r="A267" t="s">
        <v>105</v>
      </c>
      <c r="B267" t="s">
        <v>34</v>
      </c>
      <c r="C267" s="209" t="s">
        <v>35</v>
      </c>
      <c r="D267" s="210">
        <v>71020121051194</v>
      </c>
      <c r="E267" s="211">
        <v>44342</v>
      </c>
      <c r="F267" t="s">
        <v>218</v>
      </c>
      <c r="G267" t="s">
        <v>219</v>
      </c>
      <c r="H267">
        <v>2</v>
      </c>
      <c r="I267" t="s">
        <v>110</v>
      </c>
      <c r="J267" t="s">
        <v>220</v>
      </c>
      <c r="K267" t="s">
        <v>221</v>
      </c>
      <c r="L267">
        <v>400</v>
      </c>
      <c r="M267" s="211">
        <v>44367</v>
      </c>
      <c r="N267" s="211">
        <v>44367</v>
      </c>
      <c r="O267" s="212" t="s">
        <v>60</v>
      </c>
      <c r="P267" t="s">
        <v>222</v>
      </c>
      <c r="S267">
        <v>0</v>
      </c>
      <c r="T267">
        <v>0</v>
      </c>
      <c r="U267">
        <v>0</v>
      </c>
      <c r="V267">
        <v>0</v>
      </c>
      <c r="W267">
        <v>0</v>
      </c>
      <c r="X267" s="140">
        <v>400</v>
      </c>
      <c r="Y267" s="209">
        <f t="shared" si="4"/>
        <v>400</v>
      </c>
      <c r="Z267">
        <v>0</v>
      </c>
      <c r="AE267"/>
      <c r="AF267"/>
      <c r="AG267" t="s">
        <v>223</v>
      </c>
      <c r="AN267" t="s">
        <v>218</v>
      </c>
      <c r="AO267" t="s">
        <v>224</v>
      </c>
      <c r="AP267" t="s">
        <v>251</v>
      </c>
      <c r="AQ267">
        <v>0.13</v>
      </c>
      <c r="AR267" t="s">
        <v>226</v>
      </c>
    </row>
    <row r="268" hidden="1" spans="1:44">
      <c r="A268" t="s">
        <v>105</v>
      </c>
      <c r="B268" t="s">
        <v>34</v>
      </c>
      <c r="C268" s="209" t="s">
        <v>35</v>
      </c>
      <c r="D268" s="210">
        <v>71020121051194</v>
      </c>
      <c r="E268" s="211">
        <v>44342</v>
      </c>
      <c r="F268" t="s">
        <v>218</v>
      </c>
      <c r="G268" t="s">
        <v>219</v>
      </c>
      <c r="H268">
        <v>3</v>
      </c>
      <c r="I268" t="s">
        <v>108</v>
      </c>
      <c r="J268" t="s">
        <v>220</v>
      </c>
      <c r="K268" t="s">
        <v>221</v>
      </c>
      <c r="L268">
        <v>5200</v>
      </c>
      <c r="M268" s="211">
        <v>44386</v>
      </c>
      <c r="N268" s="211">
        <v>44386</v>
      </c>
      <c r="O268" s="212" t="s">
        <v>60</v>
      </c>
      <c r="P268" t="s">
        <v>222</v>
      </c>
      <c r="S268">
        <v>2520</v>
      </c>
      <c r="T268">
        <v>2520</v>
      </c>
      <c r="U268">
        <v>0</v>
      </c>
      <c r="V268">
        <v>2520</v>
      </c>
      <c r="W268">
        <v>0</v>
      </c>
      <c r="X268" s="140">
        <v>2680</v>
      </c>
      <c r="Y268" s="209">
        <f t="shared" si="4"/>
        <v>2680</v>
      </c>
      <c r="Z268">
        <v>0</v>
      </c>
      <c r="AE268">
        <v>44390</v>
      </c>
      <c r="AF268">
        <v>44391</v>
      </c>
      <c r="AG268" t="s">
        <v>223</v>
      </c>
      <c r="AN268" t="s">
        <v>218</v>
      </c>
      <c r="AO268" t="s">
        <v>224</v>
      </c>
      <c r="AP268" t="s">
        <v>251</v>
      </c>
      <c r="AQ268">
        <v>0.13</v>
      </c>
      <c r="AR268" t="s">
        <v>226</v>
      </c>
    </row>
    <row r="269" hidden="1" spans="1:44">
      <c r="A269" t="s">
        <v>105</v>
      </c>
      <c r="B269" t="s">
        <v>34</v>
      </c>
      <c r="C269" s="209" t="s">
        <v>35</v>
      </c>
      <c r="D269" s="210">
        <v>71020121051444</v>
      </c>
      <c r="E269" s="211">
        <v>44347</v>
      </c>
      <c r="F269" t="s">
        <v>218</v>
      </c>
      <c r="G269" t="s">
        <v>219</v>
      </c>
      <c r="H269">
        <v>2</v>
      </c>
      <c r="I269" t="s">
        <v>111</v>
      </c>
      <c r="J269" t="s">
        <v>220</v>
      </c>
      <c r="K269" t="s">
        <v>221</v>
      </c>
      <c r="L269">
        <v>1100</v>
      </c>
      <c r="M269" s="211">
        <v>44413</v>
      </c>
      <c r="N269" s="211">
        <v>44382</v>
      </c>
      <c r="O269" s="212" t="s">
        <v>60</v>
      </c>
      <c r="P269" t="s">
        <v>222</v>
      </c>
      <c r="S269">
        <v>59</v>
      </c>
      <c r="T269">
        <v>59</v>
      </c>
      <c r="U269">
        <v>0</v>
      </c>
      <c r="V269">
        <v>59</v>
      </c>
      <c r="W269">
        <v>0</v>
      </c>
      <c r="X269" s="140">
        <v>1041</v>
      </c>
      <c r="Y269" s="209">
        <f t="shared" si="4"/>
        <v>1041</v>
      </c>
      <c r="Z269">
        <v>0</v>
      </c>
      <c r="AE269">
        <v>44382</v>
      </c>
      <c r="AF269">
        <v>44382</v>
      </c>
      <c r="AG269" t="s">
        <v>223</v>
      </c>
      <c r="AN269" t="s">
        <v>218</v>
      </c>
      <c r="AO269" t="s">
        <v>224</v>
      </c>
      <c r="AP269" t="s">
        <v>251</v>
      </c>
      <c r="AQ269">
        <v>0.13</v>
      </c>
      <c r="AR269" t="s">
        <v>226</v>
      </c>
    </row>
    <row r="270" hidden="1" spans="1:44">
      <c r="A270" t="s">
        <v>105</v>
      </c>
      <c r="B270" t="s">
        <v>34</v>
      </c>
      <c r="C270" s="209" t="s">
        <v>35</v>
      </c>
      <c r="D270" s="210">
        <v>71020121051444</v>
      </c>
      <c r="E270" s="211">
        <v>44347</v>
      </c>
      <c r="F270" t="s">
        <v>218</v>
      </c>
      <c r="G270" t="s">
        <v>219</v>
      </c>
      <c r="H270">
        <v>5</v>
      </c>
      <c r="I270" t="s">
        <v>113</v>
      </c>
      <c r="J270" t="s">
        <v>220</v>
      </c>
      <c r="K270" t="s">
        <v>221</v>
      </c>
      <c r="L270">
        <v>4700</v>
      </c>
      <c r="M270" s="211">
        <v>44363</v>
      </c>
      <c r="N270" s="211">
        <v>44499</v>
      </c>
      <c r="O270" s="212" t="s">
        <v>252</v>
      </c>
      <c r="P270" t="s">
        <v>222</v>
      </c>
      <c r="S270">
        <v>0</v>
      </c>
      <c r="T270">
        <v>0</v>
      </c>
      <c r="U270">
        <v>0</v>
      </c>
      <c r="V270">
        <v>0</v>
      </c>
      <c r="W270">
        <v>0</v>
      </c>
      <c r="X270" s="140">
        <v>4700</v>
      </c>
      <c r="Y270" s="209">
        <f t="shared" si="4"/>
        <v>4700</v>
      </c>
      <c r="Z270">
        <v>0</v>
      </c>
      <c r="AE270"/>
      <c r="AF270"/>
      <c r="AG270" t="s">
        <v>223</v>
      </c>
      <c r="AN270" t="s">
        <v>218</v>
      </c>
      <c r="AO270" t="s">
        <v>224</v>
      </c>
      <c r="AP270" t="s">
        <v>251</v>
      </c>
      <c r="AQ270">
        <v>0.13</v>
      </c>
      <c r="AR270" t="s">
        <v>226</v>
      </c>
    </row>
    <row r="271" hidden="1" spans="1:44">
      <c r="A271" t="s">
        <v>105</v>
      </c>
      <c r="B271" t="s">
        <v>34</v>
      </c>
      <c r="C271" s="209" t="s">
        <v>35</v>
      </c>
      <c r="D271" s="210">
        <v>71020121051444</v>
      </c>
      <c r="E271" s="211">
        <v>44347</v>
      </c>
      <c r="F271" t="s">
        <v>218</v>
      </c>
      <c r="G271" t="s">
        <v>219</v>
      </c>
      <c r="H271">
        <v>6</v>
      </c>
      <c r="I271" t="s">
        <v>118</v>
      </c>
      <c r="J271" t="s">
        <v>220</v>
      </c>
      <c r="K271" t="s">
        <v>221</v>
      </c>
      <c r="L271">
        <v>2000</v>
      </c>
      <c r="M271" s="211">
        <v>44370</v>
      </c>
      <c r="N271" s="211">
        <v>44418</v>
      </c>
      <c r="O271" s="212" t="s">
        <v>227</v>
      </c>
      <c r="P271" t="s">
        <v>222</v>
      </c>
      <c r="S271">
        <v>0</v>
      </c>
      <c r="T271">
        <v>0</v>
      </c>
      <c r="U271">
        <v>0</v>
      </c>
      <c r="V271">
        <v>0</v>
      </c>
      <c r="W271">
        <v>0</v>
      </c>
      <c r="X271" s="140">
        <v>2000</v>
      </c>
      <c r="Y271" s="209">
        <f t="shared" si="4"/>
        <v>2000</v>
      </c>
      <c r="Z271">
        <v>0</v>
      </c>
      <c r="AE271"/>
      <c r="AF271"/>
      <c r="AG271" t="s">
        <v>223</v>
      </c>
      <c r="AN271" t="s">
        <v>218</v>
      </c>
      <c r="AO271" t="s">
        <v>224</v>
      </c>
      <c r="AP271" t="s">
        <v>251</v>
      </c>
      <c r="AQ271">
        <v>0.13</v>
      </c>
      <c r="AR271" t="s">
        <v>226</v>
      </c>
    </row>
    <row r="272" hidden="1" spans="1:44">
      <c r="A272" t="s">
        <v>105</v>
      </c>
      <c r="B272" t="s">
        <v>34</v>
      </c>
      <c r="C272" s="209" t="s">
        <v>35</v>
      </c>
      <c r="D272" s="210">
        <v>71020121051444</v>
      </c>
      <c r="E272" s="211">
        <v>44347</v>
      </c>
      <c r="F272" t="s">
        <v>218</v>
      </c>
      <c r="G272" t="s">
        <v>219</v>
      </c>
      <c r="H272">
        <v>7</v>
      </c>
      <c r="I272" t="s">
        <v>118</v>
      </c>
      <c r="J272" t="s">
        <v>220</v>
      </c>
      <c r="K272" t="s">
        <v>221</v>
      </c>
      <c r="L272">
        <v>3000</v>
      </c>
      <c r="M272" s="211">
        <v>44370</v>
      </c>
      <c r="N272" s="211">
        <v>44385</v>
      </c>
      <c r="O272" s="212" t="s">
        <v>60</v>
      </c>
      <c r="P272" t="s">
        <v>222</v>
      </c>
      <c r="S272">
        <v>2043</v>
      </c>
      <c r="T272">
        <v>2043</v>
      </c>
      <c r="U272">
        <v>0</v>
      </c>
      <c r="V272">
        <v>2043</v>
      </c>
      <c r="W272">
        <v>0</v>
      </c>
      <c r="X272" s="140">
        <v>957</v>
      </c>
      <c r="Y272" s="209">
        <f t="shared" si="4"/>
        <v>957</v>
      </c>
      <c r="Z272">
        <v>0</v>
      </c>
      <c r="AE272">
        <v>44385</v>
      </c>
      <c r="AF272">
        <v>44386</v>
      </c>
      <c r="AG272" t="s">
        <v>223</v>
      </c>
      <c r="AN272" t="s">
        <v>218</v>
      </c>
      <c r="AO272" t="s">
        <v>224</v>
      </c>
      <c r="AP272" t="s">
        <v>251</v>
      </c>
      <c r="AQ272">
        <v>0.13</v>
      </c>
      <c r="AR272" t="s">
        <v>226</v>
      </c>
    </row>
    <row r="273" hidden="1" spans="1:44">
      <c r="A273" t="s">
        <v>105</v>
      </c>
      <c r="B273" t="s">
        <v>34</v>
      </c>
      <c r="C273" s="209" t="s">
        <v>35</v>
      </c>
      <c r="D273" s="210">
        <v>71020121060210</v>
      </c>
      <c r="E273" s="211">
        <v>44351</v>
      </c>
      <c r="F273" t="s">
        <v>218</v>
      </c>
      <c r="G273" t="s">
        <v>219</v>
      </c>
      <c r="H273">
        <v>1</v>
      </c>
      <c r="I273" t="s">
        <v>107</v>
      </c>
      <c r="J273" t="s">
        <v>220</v>
      </c>
      <c r="K273" t="s">
        <v>221</v>
      </c>
      <c r="L273">
        <v>3400</v>
      </c>
      <c r="M273" s="211">
        <v>44354</v>
      </c>
      <c r="N273" s="211">
        <v>44370</v>
      </c>
      <c r="O273" s="212" t="s">
        <v>60</v>
      </c>
      <c r="P273" t="s">
        <v>222</v>
      </c>
      <c r="S273">
        <v>3332</v>
      </c>
      <c r="T273">
        <v>3332</v>
      </c>
      <c r="U273">
        <v>0</v>
      </c>
      <c r="V273">
        <v>3332</v>
      </c>
      <c r="W273">
        <v>0</v>
      </c>
      <c r="X273" s="140">
        <v>68</v>
      </c>
      <c r="Y273" s="209">
        <f t="shared" si="4"/>
        <v>68</v>
      </c>
      <c r="Z273">
        <v>0</v>
      </c>
      <c r="AE273">
        <v>44366</v>
      </c>
      <c r="AF273">
        <v>44367</v>
      </c>
      <c r="AG273" t="s">
        <v>223</v>
      </c>
      <c r="AN273" t="s">
        <v>218</v>
      </c>
      <c r="AO273" t="s">
        <v>224</v>
      </c>
      <c r="AP273" t="s">
        <v>251</v>
      </c>
      <c r="AQ273">
        <v>0.13</v>
      </c>
      <c r="AR273" t="s">
        <v>226</v>
      </c>
    </row>
    <row r="274" hidden="1" spans="1:44">
      <c r="A274" t="s">
        <v>105</v>
      </c>
      <c r="B274" t="s">
        <v>34</v>
      </c>
      <c r="C274" s="209" t="s">
        <v>35</v>
      </c>
      <c r="D274" s="210">
        <v>71020121060808</v>
      </c>
      <c r="E274" s="211">
        <v>44363</v>
      </c>
      <c r="F274" t="s">
        <v>218</v>
      </c>
      <c r="G274" t="s">
        <v>219</v>
      </c>
      <c r="H274">
        <v>1</v>
      </c>
      <c r="I274" t="s">
        <v>112</v>
      </c>
      <c r="J274" t="s">
        <v>220</v>
      </c>
      <c r="K274" t="s">
        <v>221</v>
      </c>
      <c r="L274">
        <v>5000</v>
      </c>
      <c r="M274" s="211">
        <v>44419</v>
      </c>
      <c r="N274" s="211">
        <v>44401</v>
      </c>
      <c r="O274" s="212" t="s">
        <v>60</v>
      </c>
      <c r="P274" t="s">
        <v>222</v>
      </c>
      <c r="S274">
        <v>0</v>
      </c>
      <c r="T274">
        <v>0</v>
      </c>
      <c r="U274">
        <v>0</v>
      </c>
      <c r="V274">
        <v>0</v>
      </c>
      <c r="W274">
        <v>0</v>
      </c>
      <c r="X274" s="140">
        <v>5000</v>
      </c>
      <c r="Y274" s="209">
        <f t="shared" si="4"/>
        <v>5000</v>
      </c>
      <c r="Z274">
        <v>0</v>
      </c>
      <c r="AE274"/>
      <c r="AF274"/>
      <c r="AG274" t="s">
        <v>223</v>
      </c>
      <c r="AN274" t="s">
        <v>218</v>
      </c>
      <c r="AO274" t="s">
        <v>224</v>
      </c>
      <c r="AP274" t="s">
        <v>251</v>
      </c>
      <c r="AQ274">
        <v>0.13</v>
      </c>
      <c r="AR274" t="s">
        <v>226</v>
      </c>
    </row>
    <row r="275" hidden="1" spans="1:44">
      <c r="A275" t="s">
        <v>105</v>
      </c>
      <c r="B275" t="s">
        <v>34</v>
      </c>
      <c r="C275" s="209" t="s">
        <v>35</v>
      </c>
      <c r="D275" s="210">
        <v>71020121060808</v>
      </c>
      <c r="E275" s="211">
        <v>44363</v>
      </c>
      <c r="F275" t="s">
        <v>218</v>
      </c>
      <c r="G275" t="s">
        <v>219</v>
      </c>
      <c r="H275">
        <v>2</v>
      </c>
      <c r="I275" t="s">
        <v>112</v>
      </c>
      <c r="J275" t="s">
        <v>220</v>
      </c>
      <c r="K275" t="s">
        <v>221</v>
      </c>
      <c r="L275">
        <v>5000</v>
      </c>
      <c r="M275" s="211">
        <v>44418</v>
      </c>
      <c r="N275" s="211">
        <v>44382</v>
      </c>
      <c r="O275" s="212" t="s">
        <v>60</v>
      </c>
      <c r="P275" t="s">
        <v>222</v>
      </c>
      <c r="S275">
        <v>0</v>
      </c>
      <c r="T275">
        <v>0</v>
      </c>
      <c r="U275">
        <v>0</v>
      </c>
      <c r="V275">
        <v>0</v>
      </c>
      <c r="W275">
        <v>0</v>
      </c>
      <c r="X275" s="140">
        <v>5000</v>
      </c>
      <c r="Y275" s="209">
        <f t="shared" si="4"/>
        <v>5000</v>
      </c>
      <c r="Z275">
        <v>0</v>
      </c>
      <c r="AE275"/>
      <c r="AF275"/>
      <c r="AG275" t="s">
        <v>223</v>
      </c>
      <c r="AN275" t="s">
        <v>218</v>
      </c>
      <c r="AO275" t="s">
        <v>224</v>
      </c>
      <c r="AP275" t="s">
        <v>251</v>
      </c>
      <c r="AQ275">
        <v>0.13</v>
      </c>
      <c r="AR275" t="s">
        <v>226</v>
      </c>
    </row>
    <row r="276" hidden="1" spans="1:44">
      <c r="A276" t="s">
        <v>105</v>
      </c>
      <c r="B276" t="s">
        <v>34</v>
      </c>
      <c r="C276" s="209" t="s">
        <v>35</v>
      </c>
      <c r="D276" s="210">
        <v>71020121060808</v>
      </c>
      <c r="E276" s="211">
        <v>44363</v>
      </c>
      <c r="F276" t="s">
        <v>218</v>
      </c>
      <c r="G276" t="s">
        <v>219</v>
      </c>
      <c r="H276">
        <v>3</v>
      </c>
      <c r="I276" t="s">
        <v>112</v>
      </c>
      <c r="J276" t="s">
        <v>220</v>
      </c>
      <c r="K276" t="s">
        <v>221</v>
      </c>
      <c r="L276">
        <v>5000</v>
      </c>
      <c r="M276" s="211">
        <v>44417</v>
      </c>
      <c r="N276" s="211">
        <v>44382</v>
      </c>
      <c r="O276" s="212" t="s">
        <v>60</v>
      </c>
      <c r="P276" t="s">
        <v>222</v>
      </c>
      <c r="S276">
        <v>0</v>
      </c>
      <c r="T276">
        <v>0</v>
      </c>
      <c r="U276">
        <v>0</v>
      </c>
      <c r="V276">
        <v>0</v>
      </c>
      <c r="W276">
        <v>0</v>
      </c>
      <c r="X276" s="140">
        <v>5000</v>
      </c>
      <c r="Y276" s="209">
        <f t="shared" si="4"/>
        <v>5000</v>
      </c>
      <c r="Z276">
        <v>0</v>
      </c>
      <c r="AE276"/>
      <c r="AF276"/>
      <c r="AG276" t="s">
        <v>223</v>
      </c>
      <c r="AN276" t="s">
        <v>218</v>
      </c>
      <c r="AO276" t="s">
        <v>224</v>
      </c>
      <c r="AP276" t="s">
        <v>251</v>
      </c>
      <c r="AQ276">
        <v>0.13</v>
      </c>
      <c r="AR276" t="s">
        <v>226</v>
      </c>
    </row>
    <row r="277" hidden="1" spans="1:44">
      <c r="A277" t="s">
        <v>105</v>
      </c>
      <c r="B277" t="s">
        <v>34</v>
      </c>
      <c r="C277" s="209" t="s">
        <v>35</v>
      </c>
      <c r="D277" s="210">
        <v>71020121060808</v>
      </c>
      <c r="E277" s="211">
        <v>44363</v>
      </c>
      <c r="F277" t="s">
        <v>218</v>
      </c>
      <c r="G277" t="s">
        <v>219</v>
      </c>
      <c r="H277">
        <v>6</v>
      </c>
      <c r="I277" t="s">
        <v>112</v>
      </c>
      <c r="J277" t="s">
        <v>220</v>
      </c>
      <c r="K277" t="s">
        <v>221</v>
      </c>
      <c r="L277">
        <v>5000</v>
      </c>
      <c r="M277" s="211">
        <v>44414</v>
      </c>
      <c r="N277" s="211">
        <v>44389</v>
      </c>
      <c r="O277" s="212" t="s">
        <v>60</v>
      </c>
      <c r="P277" t="s">
        <v>222</v>
      </c>
      <c r="S277">
        <v>2099</v>
      </c>
      <c r="T277">
        <v>2099</v>
      </c>
      <c r="U277">
        <v>0</v>
      </c>
      <c r="V277">
        <v>2099</v>
      </c>
      <c r="W277">
        <v>0</v>
      </c>
      <c r="X277" s="140">
        <v>2901</v>
      </c>
      <c r="Y277" s="209">
        <f t="shared" si="4"/>
        <v>2901</v>
      </c>
      <c r="Z277">
        <v>0</v>
      </c>
      <c r="AE277">
        <v>44384</v>
      </c>
      <c r="AF277">
        <v>44385</v>
      </c>
      <c r="AG277" t="s">
        <v>223</v>
      </c>
      <c r="AN277" t="s">
        <v>218</v>
      </c>
      <c r="AO277" t="s">
        <v>224</v>
      </c>
      <c r="AP277" t="s">
        <v>251</v>
      </c>
      <c r="AQ277">
        <v>0.13</v>
      </c>
      <c r="AR277" t="s">
        <v>226</v>
      </c>
    </row>
    <row r="278" hidden="1" spans="1:44">
      <c r="A278" t="s">
        <v>105</v>
      </c>
      <c r="B278" t="s">
        <v>34</v>
      </c>
      <c r="C278" s="209" t="s">
        <v>35</v>
      </c>
      <c r="D278" s="210">
        <v>71020121060808</v>
      </c>
      <c r="E278" s="211">
        <v>44363</v>
      </c>
      <c r="F278" t="s">
        <v>218</v>
      </c>
      <c r="G278" t="s">
        <v>219</v>
      </c>
      <c r="H278">
        <v>9</v>
      </c>
      <c r="I278" t="s">
        <v>107</v>
      </c>
      <c r="J278" t="s">
        <v>220</v>
      </c>
      <c r="K278" t="s">
        <v>221</v>
      </c>
      <c r="L278">
        <v>4000</v>
      </c>
      <c r="M278" s="211">
        <v>44382</v>
      </c>
      <c r="N278" s="211">
        <v>44387</v>
      </c>
      <c r="O278" s="212" t="s">
        <v>60</v>
      </c>
      <c r="P278" t="s">
        <v>222</v>
      </c>
      <c r="S278">
        <v>2160</v>
      </c>
      <c r="T278">
        <v>2160</v>
      </c>
      <c r="U278">
        <v>0</v>
      </c>
      <c r="V278">
        <v>2160</v>
      </c>
      <c r="W278">
        <v>0</v>
      </c>
      <c r="X278" s="140">
        <v>1840</v>
      </c>
      <c r="Y278" s="209">
        <f t="shared" si="4"/>
        <v>1840</v>
      </c>
      <c r="Z278">
        <v>0</v>
      </c>
      <c r="AE278">
        <v>44390</v>
      </c>
      <c r="AF278">
        <v>44391</v>
      </c>
      <c r="AG278" t="s">
        <v>223</v>
      </c>
      <c r="AN278" t="s">
        <v>218</v>
      </c>
      <c r="AO278" t="s">
        <v>224</v>
      </c>
      <c r="AP278" t="s">
        <v>251</v>
      </c>
      <c r="AQ278">
        <v>0.13</v>
      </c>
      <c r="AR278" t="s">
        <v>226</v>
      </c>
    </row>
    <row r="279" hidden="1" spans="1:44">
      <c r="A279" t="s">
        <v>105</v>
      </c>
      <c r="B279" t="s">
        <v>34</v>
      </c>
      <c r="C279" s="209" t="s">
        <v>35</v>
      </c>
      <c r="D279" s="210">
        <v>71020121060916</v>
      </c>
      <c r="E279" s="211">
        <v>44366</v>
      </c>
      <c r="F279" t="s">
        <v>218</v>
      </c>
      <c r="G279" t="s">
        <v>219</v>
      </c>
      <c r="H279">
        <v>1</v>
      </c>
      <c r="I279" t="s">
        <v>116</v>
      </c>
      <c r="J279" t="s">
        <v>220</v>
      </c>
      <c r="K279" t="s">
        <v>221</v>
      </c>
      <c r="L279">
        <v>1600</v>
      </c>
      <c r="M279" s="211">
        <v>44418</v>
      </c>
      <c r="N279" s="211">
        <v>44418</v>
      </c>
      <c r="O279" s="212" t="s">
        <v>227</v>
      </c>
      <c r="P279" t="s">
        <v>222</v>
      </c>
      <c r="S279">
        <v>0</v>
      </c>
      <c r="T279">
        <v>0</v>
      </c>
      <c r="U279">
        <v>0</v>
      </c>
      <c r="V279">
        <v>0</v>
      </c>
      <c r="W279">
        <v>0</v>
      </c>
      <c r="X279" s="140">
        <v>1600</v>
      </c>
      <c r="Y279" s="209">
        <f t="shared" si="4"/>
        <v>1600</v>
      </c>
      <c r="Z279">
        <v>0</v>
      </c>
      <c r="AE279"/>
      <c r="AF279"/>
      <c r="AG279" t="s">
        <v>223</v>
      </c>
      <c r="AN279" t="s">
        <v>218</v>
      </c>
      <c r="AO279" t="s">
        <v>224</v>
      </c>
      <c r="AP279" t="s">
        <v>251</v>
      </c>
      <c r="AQ279">
        <v>0.13</v>
      </c>
      <c r="AR279" t="s">
        <v>226</v>
      </c>
    </row>
    <row r="280" hidden="1" spans="1:44">
      <c r="A280" t="s">
        <v>105</v>
      </c>
      <c r="B280" t="s">
        <v>34</v>
      </c>
      <c r="C280" s="209" t="s">
        <v>35</v>
      </c>
      <c r="D280" s="210">
        <v>71020121060916</v>
      </c>
      <c r="E280" s="211">
        <v>44366</v>
      </c>
      <c r="F280" t="s">
        <v>218</v>
      </c>
      <c r="G280" t="s">
        <v>219</v>
      </c>
      <c r="H280">
        <v>2</v>
      </c>
      <c r="I280" t="s">
        <v>116</v>
      </c>
      <c r="J280" t="s">
        <v>220</v>
      </c>
      <c r="K280" t="s">
        <v>221</v>
      </c>
      <c r="L280">
        <v>2800</v>
      </c>
      <c r="M280" s="211">
        <v>44397</v>
      </c>
      <c r="N280" s="211">
        <v>44397</v>
      </c>
      <c r="O280" s="212" t="s">
        <v>60</v>
      </c>
      <c r="P280" t="s">
        <v>222</v>
      </c>
      <c r="S280">
        <v>0</v>
      </c>
      <c r="T280">
        <v>0</v>
      </c>
      <c r="U280">
        <v>0</v>
      </c>
      <c r="V280">
        <v>0</v>
      </c>
      <c r="W280">
        <v>0</v>
      </c>
      <c r="X280" s="140">
        <v>2800</v>
      </c>
      <c r="Y280" s="209">
        <f t="shared" si="4"/>
        <v>2800</v>
      </c>
      <c r="Z280">
        <v>0</v>
      </c>
      <c r="AE280"/>
      <c r="AF280"/>
      <c r="AG280" t="s">
        <v>223</v>
      </c>
      <c r="AN280" t="s">
        <v>218</v>
      </c>
      <c r="AO280" t="s">
        <v>224</v>
      </c>
      <c r="AP280" t="s">
        <v>251</v>
      </c>
      <c r="AQ280">
        <v>0.13</v>
      </c>
      <c r="AR280" t="s">
        <v>226</v>
      </c>
    </row>
    <row r="281" hidden="1" spans="1:44">
      <c r="A281" t="s">
        <v>105</v>
      </c>
      <c r="B281" t="s">
        <v>34</v>
      </c>
      <c r="C281" s="209" t="s">
        <v>35</v>
      </c>
      <c r="D281" s="210">
        <v>71020121060916</v>
      </c>
      <c r="E281" s="211">
        <v>44366</v>
      </c>
      <c r="F281" t="s">
        <v>218</v>
      </c>
      <c r="G281" t="s">
        <v>219</v>
      </c>
      <c r="H281">
        <v>3</v>
      </c>
      <c r="I281" t="s">
        <v>115</v>
      </c>
      <c r="J281" t="s">
        <v>220</v>
      </c>
      <c r="K281" t="s">
        <v>221</v>
      </c>
      <c r="L281">
        <v>2500</v>
      </c>
      <c r="M281" s="211">
        <v>44418</v>
      </c>
      <c r="N281" s="211">
        <v>44418</v>
      </c>
      <c r="O281" s="212" t="s">
        <v>227</v>
      </c>
      <c r="P281" t="s">
        <v>222</v>
      </c>
      <c r="S281">
        <v>0</v>
      </c>
      <c r="T281">
        <v>0</v>
      </c>
      <c r="U281">
        <v>0</v>
      </c>
      <c r="V281">
        <v>0</v>
      </c>
      <c r="W281">
        <v>0</v>
      </c>
      <c r="X281" s="140">
        <v>2500</v>
      </c>
      <c r="Y281" s="209">
        <f t="shared" si="4"/>
        <v>2500</v>
      </c>
      <c r="Z281">
        <v>0</v>
      </c>
      <c r="AE281"/>
      <c r="AF281"/>
      <c r="AG281" t="s">
        <v>223</v>
      </c>
      <c r="AN281" t="s">
        <v>218</v>
      </c>
      <c r="AO281" t="s">
        <v>224</v>
      </c>
      <c r="AP281" t="s">
        <v>251</v>
      </c>
      <c r="AQ281">
        <v>0.13</v>
      </c>
      <c r="AR281" t="s">
        <v>226</v>
      </c>
    </row>
    <row r="282" hidden="1" spans="1:44">
      <c r="A282" t="s">
        <v>105</v>
      </c>
      <c r="B282" t="s">
        <v>34</v>
      </c>
      <c r="C282" s="209" t="s">
        <v>35</v>
      </c>
      <c r="D282" s="210">
        <v>71020121060987</v>
      </c>
      <c r="E282" s="211">
        <v>44369</v>
      </c>
      <c r="F282" t="s">
        <v>218</v>
      </c>
      <c r="G282" t="s">
        <v>219</v>
      </c>
      <c r="H282">
        <v>1</v>
      </c>
      <c r="I282" t="s">
        <v>107</v>
      </c>
      <c r="J282" t="s">
        <v>220</v>
      </c>
      <c r="K282" t="s">
        <v>221</v>
      </c>
      <c r="L282">
        <v>900</v>
      </c>
      <c r="M282" s="211">
        <v>44391</v>
      </c>
      <c r="N282" s="211">
        <v>44393</v>
      </c>
      <c r="O282" s="212" t="s">
        <v>60</v>
      </c>
      <c r="P282" t="s">
        <v>222</v>
      </c>
      <c r="S282">
        <v>0</v>
      </c>
      <c r="T282">
        <v>0</v>
      </c>
      <c r="U282">
        <v>0</v>
      </c>
      <c r="V282">
        <v>0</v>
      </c>
      <c r="W282">
        <v>0</v>
      </c>
      <c r="X282" s="140">
        <v>900</v>
      </c>
      <c r="Y282" s="209">
        <f t="shared" si="4"/>
        <v>900</v>
      </c>
      <c r="Z282">
        <v>0</v>
      </c>
      <c r="AE282"/>
      <c r="AF282"/>
      <c r="AG282" t="s">
        <v>223</v>
      </c>
      <c r="AN282" t="s">
        <v>218</v>
      </c>
      <c r="AO282" t="s">
        <v>224</v>
      </c>
      <c r="AP282" t="s">
        <v>251</v>
      </c>
      <c r="AQ282">
        <v>0.13</v>
      </c>
      <c r="AR282" t="s">
        <v>238</v>
      </c>
    </row>
    <row r="283" hidden="1" spans="1:44">
      <c r="A283" t="s">
        <v>105</v>
      </c>
      <c r="B283" t="s">
        <v>34</v>
      </c>
      <c r="C283" s="209" t="s">
        <v>35</v>
      </c>
      <c r="D283" s="210">
        <v>71020121060987</v>
      </c>
      <c r="E283" s="211">
        <v>44369</v>
      </c>
      <c r="F283" t="s">
        <v>218</v>
      </c>
      <c r="G283" t="s">
        <v>219</v>
      </c>
      <c r="H283">
        <v>2</v>
      </c>
      <c r="I283" t="s">
        <v>107</v>
      </c>
      <c r="J283" t="s">
        <v>220</v>
      </c>
      <c r="K283" t="s">
        <v>221</v>
      </c>
      <c r="L283">
        <v>6300</v>
      </c>
      <c r="M283" s="211">
        <v>44388</v>
      </c>
      <c r="N283" s="211">
        <v>44393</v>
      </c>
      <c r="O283" s="212" t="s">
        <v>60</v>
      </c>
      <c r="P283" t="s">
        <v>222</v>
      </c>
      <c r="S283">
        <v>0</v>
      </c>
      <c r="T283">
        <v>0</v>
      </c>
      <c r="U283">
        <v>0</v>
      </c>
      <c r="V283">
        <v>0</v>
      </c>
      <c r="W283">
        <v>0</v>
      </c>
      <c r="X283" s="140">
        <v>6300</v>
      </c>
      <c r="Y283" s="209">
        <f t="shared" si="4"/>
        <v>6300</v>
      </c>
      <c r="Z283">
        <v>0</v>
      </c>
      <c r="AE283"/>
      <c r="AF283"/>
      <c r="AG283" t="s">
        <v>223</v>
      </c>
      <c r="AN283" t="s">
        <v>218</v>
      </c>
      <c r="AO283" t="s">
        <v>224</v>
      </c>
      <c r="AP283" t="s">
        <v>251</v>
      </c>
      <c r="AQ283">
        <v>0.13</v>
      </c>
      <c r="AR283" t="s">
        <v>238</v>
      </c>
    </row>
    <row r="284" hidden="1" spans="1:44">
      <c r="A284" t="s">
        <v>105</v>
      </c>
      <c r="B284" t="s">
        <v>34</v>
      </c>
      <c r="C284" s="209" t="s">
        <v>35</v>
      </c>
      <c r="D284" s="210">
        <v>71020121060987</v>
      </c>
      <c r="E284" s="211">
        <v>44369</v>
      </c>
      <c r="F284" t="s">
        <v>218</v>
      </c>
      <c r="G284" t="s">
        <v>219</v>
      </c>
      <c r="H284">
        <v>3</v>
      </c>
      <c r="I284" t="s">
        <v>107</v>
      </c>
      <c r="J284" t="s">
        <v>220</v>
      </c>
      <c r="K284" t="s">
        <v>221</v>
      </c>
      <c r="L284">
        <v>7800</v>
      </c>
      <c r="M284" s="211">
        <v>44387</v>
      </c>
      <c r="N284" s="211">
        <v>44393</v>
      </c>
      <c r="O284" s="212" t="s">
        <v>60</v>
      </c>
      <c r="P284" t="s">
        <v>222</v>
      </c>
      <c r="S284">
        <v>0</v>
      </c>
      <c r="T284">
        <v>0</v>
      </c>
      <c r="U284">
        <v>0</v>
      </c>
      <c r="V284">
        <v>0</v>
      </c>
      <c r="W284">
        <v>0</v>
      </c>
      <c r="X284" s="140">
        <v>7800</v>
      </c>
      <c r="Y284" s="209">
        <f t="shared" si="4"/>
        <v>7800</v>
      </c>
      <c r="Z284">
        <v>0</v>
      </c>
      <c r="AE284"/>
      <c r="AF284"/>
      <c r="AG284" t="s">
        <v>223</v>
      </c>
      <c r="AN284" t="s">
        <v>218</v>
      </c>
      <c r="AO284" t="s">
        <v>224</v>
      </c>
      <c r="AP284" t="s">
        <v>251</v>
      </c>
      <c r="AQ284">
        <v>0.13</v>
      </c>
      <c r="AR284" t="s">
        <v>238</v>
      </c>
    </row>
    <row r="285" hidden="1" spans="1:44">
      <c r="A285" t="s">
        <v>105</v>
      </c>
      <c r="B285" t="s">
        <v>34</v>
      </c>
      <c r="C285" s="209" t="s">
        <v>35</v>
      </c>
      <c r="D285" s="210">
        <v>71020121070039</v>
      </c>
      <c r="E285" s="211">
        <v>44378</v>
      </c>
      <c r="F285" t="s">
        <v>218</v>
      </c>
      <c r="G285" t="s">
        <v>219</v>
      </c>
      <c r="H285">
        <v>1</v>
      </c>
      <c r="I285" t="s">
        <v>117</v>
      </c>
      <c r="J285" t="s">
        <v>220</v>
      </c>
      <c r="K285" t="s">
        <v>221</v>
      </c>
      <c r="L285">
        <v>5689</v>
      </c>
      <c r="M285" s="211">
        <v>44433</v>
      </c>
      <c r="N285" s="211">
        <v>44433</v>
      </c>
      <c r="O285" s="212" t="s">
        <v>227</v>
      </c>
      <c r="P285" t="s">
        <v>222</v>
      </c>
      <c r="S285">
        <v>0</v>
      </c>
      <c r="T285">
        <v>0</v>
      </c>
      <c r="U285">
        <v>0</v>
      </c>
      <c r="V285">
        <v>0</v>
      </c>
      <c r="W285">
        <v>0</v>
      </c>
      <c r="X285" s="140">
        <v>5689</v>
      </c>
      <c r="Y285" s="209">
        <f t="shared" si="4"/>
        <v>5689</v>
      </c>
      <c r="Z285">
        <v>0</v>
      </c>
      <c r="AE285"/>
      <c r="AF285"/>
      <c r="AG285" t="s">
        <v>223</v>
      </c>
      <c r="AN285" t="s">
        <v>218</v>
      </c>
      <c r="AO285" t="s">
        <v>224</v>
      </c>
      <c r="AP285" t="s">
        <v>251</v>
      </c>
      <c r="AQ285">
        <v>0.13</v>
      </c>
      <c r="AR285" t="s">
        <v>238</v>
      </c>
    </row>
    <row r="286" hidden="1" spans="1:44">
      <c r="A286" t="s">
        <v>105</v>
      </c>
      <c r="B286" t="s">
        <v>34</v>
      </c>
      <c r="C286" s="209" t="s">
        <v>35</v>
      </c>
      <c r="D286" s="210">
        <v>71020121070039</v>
      </c>
      <c r="E286" s="211">
        <v>44378</v>
      </c>
      <c r="F286" t="s">
        <v>218</v>
      </c>
      <c r="G286" t="s">
        <v>219</v>
      </c>
      <c r="H286">
        <v>2</v>
      </c>
      <c r="I286" t="s">
        <v>117</v>
      </c>
      <c r="J286" t="s">
        <v>220</v>
      </c>
      <c r="K286" t="s">
        <v>221</v>
      </c>
      <c r="L286">
        <v>15912</v>
      </c>
      <c r="M286" s="211">
        <v>44397</v>
      </c>
      <c r="N286" s="211">
        <v>44405</v>
      </c>
      <c r="O286" s="212" t="s">
        <v>60</v>
      </c>
      <c r="P286" t="s">
        <v>222</v>
      </c>
      <c r="S286">
        <v>0</v>
      </c>
      <c r="T286">
        <v>0</v>
      </c>
      <c r="U286">
        <v>0</v>
      </c>
      <c r="V286">
        <v>0</v>
      </c>
      <c r="W286">
        <v>0</v>
      </c>
      <c r="X286" s="140">
        <v>15912</v>
      </c>
      <c r="Y286" s="209">
        <f t="shared" si="4"/>
        <v>15912</v>
      </c>
      <c r="Z286">
        <v>0</v>
      </c>
      <c r="AE286"/>
      <c r="AF286"/>
      <c r="AG286" t="s">
        <v>223</v>
      </c>
      <c r="AN286" t="s">
        <v>218</v>
      </c>
      <c r="AO286" t="s">
        <v>224</v>
      </c>
      <c r="AP286" t="s">
        <v>251</v>
      </c>
      <c r="AQ286">
        <v>0.13</v>
      </c>
      <c r="AR286" t="s">
        <v>238</v>
      </c>
    </row>
    <row r="287" hidden="1" spans="1:44">
      <c r="A287" t="s">
        <v>105</v>
      </c>
      <c r="B287" t="s">
        <v>34</v>
      </c>
      <c r="C287" s="209" t="s">
        <v>35</v>
      </c>
      <c r="D287" s="210">
        <v>71020121070039</v>
      </c>
      <c r="E287" s="211">
        <v>44378</v>
      </c>
      <c r="F287" t="s">
        <v>218</v>
      </c>
      <c r="G287" t="s">
        <v>219</v>
      </c>
      <c r="H287">
        <v>3</v>
      </c>
      <c r="I287" t="s">
        <v>117</v>
      </c>
      <c r="J287" t="s">
        <v>220</v>
      </c>
      <c r="K287" t="s">
        <v>221</v>
      </c>
      <c r="L287">
        <v>4134</v>
      </c>
      <c r="M287" s="211">
        <v>44395</v>
      </c>
      <c r="N287" s="211">
        <v>44382</v>
      </c>
      <c r="O287" s="212" t="s">
        <v>60</v>
      </c>
      <c r="P287" t="s">
        <v>222</v>
      </c>
      <c r="S287">
        <v>200</v>
      </c>
      <c r="T287">
        <v>200</v>
      </c>
      <c r="U287">
        <v>0</v>
      </c>
      <c r="V287">
        <v>200</v>
      </c>
      <c r="W287">
        <v>0</v>
      </c>
      <c r="X287" s="140">
        <v>3934</v>
      </c>
      <c r="Y287" s="209">
        <f t="shared" si="4"/>
        <v>3934</v>
      </c>
      <c r="Z287">
        <v>0</v>
      </c>
      <c r="AE287">
        <v>44384</v>
      </c>
      <c r="AF287">
        <v>44385</v>
      </c>
      <c r="AG287" t="s">
        <v>223</v>
      </c>
      <c r="AN287" t="s">
        <v>218</v>
      </c>
      <c r="AO287" t="s">
        <v>224</v>
      </c>
      <c r="AP287" t="s">
        <v>251</v>
      </c>
      <c r="AQ287">
        <v>0.13</v>
      </c>
      <c r="AR287" t="s">
        <v>238</v>
      </c>
    </row>
    <row r="288" hidden="1" spans="1:44">
      <c r="A288" t="s">
        <v>105</v>
      </c>
      <c r="B288" t="s">
        <v>34</v>
      </c>
      <c r="C288" s="209" t="s">
        <v>35</v>
      </c>
      <c r="D288" s="210">
        <v>71020121070039</v>
      </c>
      <c r="E288" s="211">
        <v>44378</v>
      </c>
      <c r="F288" t="s">
        <v>218</v>
      </c>
      <c r="G288" t="s">
        <v>219</v>
      </c>
      <c r="H288">
        <v>5</v>
      </c>
      <c r="I288" t="s">
        <v>108</v>
      </c>
      <c r="J288" t="s">
        <v>220</v>
      </c>
      <c r="K288" t="s">
        <v>221</v>
      </c>
      <c r="L288">
        <v>21000</v>
      </c>
      <c r="M288" s="211">
        <v>44400</v>
      </c>
      <c r="N288" s="211">
        <v>44405</v>
      </c>
      <c r="O288" s="212" t="s">
        <v>60</v>
      </c>
      <c r="P288" t="s">
        <v>222</v>
      </c>
      <c r="S288">
        <v>0</v>
      </c>
      <c r="T288">
        <v>0</v>
      </c>
      <c r="U288">
        <v>0</v>
      </c>
      <c r="V288">
        <v>0</v>
      </c>
      <c r="W288">
        <v>0</v>
      </c>
      <c r="X288" s="140">
        <v>21000</v>
      </c>
      <c r="Y288" s="209">
        <f t="shared" si="4"/>
        <v>21000</v>
      </c>
      <c r="Z288">
        <v>0</v>
      </c>
      <c r="AE288"/>
      <c r="AF288"/>
      <c r="AG288" t="s">
        <v>223</v>
      </c>
      <c r="AN288" t="s">
        <v>218</v>
      </c>
      <c r="AO288" t="s">
        <v>224</v>
      </c>
      <c r="AP288" t="s">
        <v>251</v>
      </c>
      <c r="AQ288">
        <v>0.13</v>
      </c>
      <c r="AR288" t="s">
        <v>238</v>
      </c>
    </row>
    <row r="289" hidden="1" spans="1:44">
      <c r="A289" t="s">
        <v>105</v>
      </c>
      <c r="B289" t="s">
        <v>34</v>
      </c>
      <c r="C289" s="209" t="s">
        <v>35</v>
      </c>
      <c r="D289" s="210">
        <v>71020121070039</v>
      </c>
      <c r="E289" s="211">
        <v>44378</v>
      </c>
      <c r="F289" t="s">
        <v>218</v>
      </c>
      <c r="G289" t="s">
        <v>219</v>
      </c>
      <c r="H289">
        <v>6</v>
      </c>
      <c r="I289" t="s">
        <v>253</v>
      </c>
      <c r="J289" t="s">
        <v>220</v>
      </c>
      <c r="K289" t="s">
        <v>221</v>
      </c>
      <c r="L289">
        <v>5689</v>
      </c>
      <c r="M289" s="211">
        <v>44433</v>
      </c>
      <c r="N289" s="211">
        <v>44433</v>
      </c>
      <c r="O289" s="212" t="s">
        <v>227</v>
      </c>
      <c r="P289" t="s">
        <v>222</v>
      </c>
      <c r="S289">
        <v>0</v>
      </c>
      <c r="T289">
        <v>0</v>
      </c>
      <c r="U289">
        <v>0</v>
      </c>
      <c r="V289">
        <v>0</v>
      </c>
      <c r="W289">
        <v>0</v>
      </c>
      <c r="X289" s="140">
        <v>5689</v>
      </c>
      <c r="Y289" s="209">
        <f t="shared" si="4"/>
        <v>5689</v>
      </c>
      <c r="Z289">
        <v>0</v>
      </c>
      <c r="AE289"/>
      <c r="AF289"/>
      <c r="AG289" t="s">
        <v>223</v>
      </c>
      <c r="AN289" t="s">
        <v>218</v>
      </c>
      <c r="AO289" t="s">
        <v>224</v>
      </c>
      <c r="AP289" t="s">
        <v>251</v>
      </c>
      <c r="AQ289">
        <v>0.13</v>
      </c>
      <c r="AR289" t="s">
        <v>238</v>
      </c>
    </row>
    <row r="290" hidden="1" spans="1:44">
      <c r="A290" t="s">
        <v>105</v>
      </c>
      <c r="B290" t="s">
        <v>34</v>
      </c>
      <c r="C290" s="209" t="s">
        <v>35</v>
      </c>
      <c r="D290" s="210">
        <v>71020121070039</v>
      </c>
      <c r="E290" s="211">
        <v>44378</v>
      </c>
      <c r="F290" t="s">
        <v>218</v>
      </c>
      <c r="G290" t="s">
        <v>219</v>
      </c>
      <c r="H290">
        <v>7</v>
      </c>
      <c r="I290" t="s">
        <v>253</v>
      </c>
      <c r="J290" t="s">
        <v>220</v>
      </c>
      <c r="K290" t="s">
        <v>221</v>
      </c>
      <c r="L290">
        <v>15912</v>
      </c>
      <c r="M290" s="211">
        <v>44426</v>
      </c>
      <c r="N290" s="211">
        <v>44426</v>
      </c>
      <c r="O290" s="212" t="s">
        <v>227</v>
      </c>
      <c r="P290" t="s">
        <v>222</v>
      </c>
      <c r="S290">
        <v>0</v>
      </c>
      <c r="T290">
        <v>0</v>
      </c>
      <c r="U290">
        <v>0</v>
      </c>
      <c r="V290">
        <v>0</v>
      </c>
      <c r="W290">
        <v>0</v>
      </c>
      <c r="X290" s="140">
        <v>15912</v>
      </c>
      <c r="Y290" s="209">
        <f t="shared" si="4"/>
        <v>15912</v>
      </c>
      <c r="Z290">
        <v>0</v>
      </c>
      <c r="AE290"/>
      <c r="AF290"/>
      <c r="AG290" t="s">
        <v>223</v>
      </c>
      <c r="AN290" t="s">
        <v>218</v>
      </c>
      <c r="AO290" t="s">
        <v>224</v>
      </c>
      <c r="AP290" t="s">
        <v>251</v>
      </c>
      <c r="AQ290">
        <v>0.13</v>
      </c>
      <c r="AR290" t="s">
        <v>238</v>
      </c>
    </row>
    <row r="291" hidden="1" spans="1:44">
      <c r="A291" t="s">
        <v>105</v>
      </c>
      <c r="B291" t="s">
        <v>34</v>
      </c>
      <c r="C291" s="209" t="s">
        <v>35</v>
      </c>
      <c r="D291" s="210">
        <v>71020121070039</v>
      </c>
      <c r="E291" s="211">
        <v>44378</v>
      </c>
      <c r="F291" t="s">
        <v>218</v>
      </c>
      <c r="G291" t="s">
        <v>219</v>
      </c>
      <c r="H291">
        <v>8</v>
      </c>
      <c r="I291" t="s">
        <v>253</v>
      </c>
      <c r="J291" t="s">
        <v>220</v>
      </c>
      <c r="K291" t="s">
        <v>221</v>
      </c>
      <c r="L291">
        <v>4372</v>
      </c>
      <c r="M291" s="211">
        <v>44412</v>
      </c>
      <c r="N291" s="211">
        <v>44412</v>
      </c>
      <c r="O291" s="212" t="s">
        <v>227</v>
      </c>
      <c r="P291" t="s">
        <v>222</v>
      </c>
      <c r="S291">
        <v>0</v>
      </c>
      <c r="T291">
        <v>0</v>
      </c>
      <c r="U291">
        <v>0</v>
      </c>
      <c r="V291">
        <v>0</v>
      </c>
      <c r="W291">
        <v>0</v>
      </c>
      <c r="X291" s="140">
        <v>4372</v>
      </c>
      <c r="Y291" s="209">
        <f t="shared" si="4"/>
        <v>4372</v>
      </c>
      <c r="Z291">
        <v>0</v>
      </c>
      <c r="AE291"/>
      <c r="AF291"/>
      <c r="AG291" t="s">
        <v>223</v>
      </c>
      <c r="AN291" t="s">
        <v>218</v>
      </c>
      <c r="AO291" t="s">
        <v>224</v>
      </c>
      <c r="AP291" t="s">
        <v>251</v>
      </c>
      <c r="AQ291">
        <v>0.13</v>
      </c>
      <c r="AR291" t="s">
        <v>238</v>
      </c>
    </row>
    <row r="292" hidden="1" spans="1:44">
      <c r="A292" t="s">
        <v>105</v>
      </c>
      <c r="B292" t="s">
        <v>34</v>
      </c>
      <c r="C292" s="209" t="s">
        <v>35</v>
      </c>
      <c r="D292" s="210">
        <v>71020121070039</v>
      </c>
      <c r="E292" s="211">
        <v>44378</v>
      </c>
      <c r="F292" t="s">
        <v>218</v>
      </c>
      <c r="G292" t="s">
        <v>219</v>
      </c>
      <c r="H292">
        <v>9</v>
      </c>
      <c r="I292" t="s">
        <v>112</v>
      </c>
      <c r="J292" t="s">
        <v>220</v>
      </c>
      <c r="K292" t="s">
        <v>221</v>
      </c>
      <c r="L292">
        <v>13000</v>
      </c>
      <c r="M292" s="211">
        <v>44399</v>
      </c>
      <c r="N292" s="211">
        <v>44405</v>
      </c>
      <c r="O292" s="212" t="s">
        <v>60</v>
      </c>
      <c r="P292" t="s">
        <v>222</v>
      </c>
      <c r="S292">
        <v>0</v>
      </c>
      <c r="T292">
        <v>0</v>
      </c>
      <c r="U292">
        <v>0</v>
      </c>
      <c r="V292">
        <v>0</v>
      </c>
      <c r="W292">
        <v>0</v>
      </c>
      <c r="X292" s="140">
        <v>13000</v>
      </c>
      <c r="Y292" s="209">
        <f t="shared" si="4"/>
        <v>13000</v>
      </c>
      <c r="Z292">
        <v>0</v>
      </c>
      <c r="AE292"/>
      <c r="AF292"/>
      <c r="AG292" t="s">
        <v>223</v>
      </c>
      <c r="AN292" t="s">
        <v>218</v>
      </c>
      <c r="AO292" t="s">
        <v>224</v>
      </c>
      <c r="AP292" t="s">
        <v>251</v>
      </c>
      <c r="AQ292">
        <v>0.13</v>
      </c>
      <c r="AR292" t="s">
        <v>238</v>
      </c>
    </row>
    <row r="293" hidden="1" spans="1:44">
      <c r="A293" t="s">
        <v>105</v>
      </c>
      <c r="B293" t="s">
        <v>34</v>
      </c>
      <c r="C293" s="209" t="s">
        <v>35</v>
      </c>
      <c r="D293" s="210">
        <v>71020121070039</v>
      </c>
      <c r="E293" s="211">
        <v>44378</v>
      </c>
      <c r="F293" t="s">
        <v>218</v>
      </c>
      <c r="G293" t="s">
        <v>219</v>
      </c>
      <c r="H293">
        <v>10</v>
      </c>
      <c r="I293" t="s">
        <v>106</v>
      </c>
      <c r="J293" t="s">
        <v>220</v>
      </c>
      <c r="K293" t="s">
        <v>221</v>
      </c>
      <c r="L293">
        <v>1900</v>
      </c>
      <c r="M293" s="211">
        <v>44433</v>
      </c>
      <c r="N293" s="211">
        <v>44433</v>
      </c>
      <c r="O293" s="212" t="s">
        <v>227</v>
      </c>
      <c r="P293" t="s">
        <v>222</v>
      </c>
      <c r="S293">
        <v>0</v>
      </c>
      <c r="T293">
        <v>0</v>
      </c>
      <c r="U293">
        <v>0</v>
      </c>
      <c r="V293">
        <v>0</v>
      </c>
      <c r="W293">
        <v>0</v>
      </c>
      <c r="X293" s="140">
        <v>1900</v>
      </c>
      <c r="Y293" s="209">
        <f t="shared" si="4"/>
        <v>1900</v>
      </c>
      <c r="Z293">
        <v>0</v>
      </c>
      <c r="AE293"/>
      <c r="AF293"/>
      <c r="AG293" t="s">
        <v>223</v>
      </c>
      <c r="AN293" t="s">
        <v>218</v>
      </c>
      <c r="AO293" t="s">
        <v>224</v>
      </c>
      <c r="AP293" t="s">
        <v>251</v>
      </c>
      <c r="AQ293">
        <v>0.13</v>
      </c>
      <c r="AR293" t="s">
        <v>238</v>
      </c>
    </row>
    <row r="294" hidden="1" spans="1:44">
      <c r="A294" t="s">
        <v>105</v>
      </c>
      <c r="B294" t="s">
        <v>34</v>
      </c>
      <c r="C294" s="209" t="s">
        <v>35</v>
      </c>
      <c r="D294" s="210">
        <v>71020121070338</v>
      </c>
      <c r="E294" s="211">
        <v>44384</v>
      </c>
      <c r="F294" t="s">
        <v>218</v>
      </c>
      <c r="G294" t="s">
        <v>219</v>
      </c>
      <c r="H294">
        <v>1</v>
      </c>
      <c r="I294" t="s">
        <v>115</v>
      </c>
      <c r="J294" t="s">
        <v>220</v>
      </c>
      <c r="K294" t="s">
        <v>221</v>
      </c>
      <c r="L294">
        <v>1000</v>
      </c>
      <c r="M294" s="211">
        <v>44421</v>
      </c>
      <c r="O294" s="212" t="s">
        <v>227</v>
      </c>
      <c r="P294" t="s">
        <v>222</v>
      </c>
      <c r="S294">
        <v>0</v>
      </c>
      <c r="T294">
        <v>0</v>
      </c>
      <c r="U294">
        <v>0</v>
      </c>
      <c r="V294">
        <v>0</v>
      </c>
      <c r="W294">
        <v>0</v>
      </c>
      <c r="X294" s="140">
        <v>1000</v>
      </c>
      <c r="Y294" s="209">
        <f t="shared" si="4"/>
        <v>1000</v>
      </c>
      <c r="Z294">
        <v>0</v>
      </c>
      <c r="AE294"/>
      <c r="AF294"/>
      <c r="AG294" t="s">
        <v>223</v>
      </c>
      <c r="AN294" t="s">
        <v>218</v>
      </c>
      <c r="AO294" t="s">
        <v>224</v>
      </c>
      <c r="AP294" t="s">
        <v>251</v>
      </c>
      <c r="AQ294">
        <v>0.13</v>
      </c>
      <c r="AR294" t="s">
        <v>226</v>
      </c>
    </row>
    <row r="295" hidden="1" spans="1:44">
      <c r="A295" t="s">
        <v>105</v>
      </c>
      <c r="B295" t="s">
        <v>34</v>
      </c>
      <c r="C295" s="209" t="s">
        <v>35</v>
      </c>
      <c r="D295" s="210">
        <v>71020121070338</v>
      </c>
      <c r="E295" s="211">
        <v>44384</v>
      </c>
      <c r="F295" t="s">
        <v>218</v>
      </c>
      <c r="G295" t="s">
        <v>219</v>
      </c>
      <c r="H295">
        <v>2</v>
      </c>
      <c r="I295" t="s">
        <v>115</v>
      </c>
      <c r="J295" t="s">
        <v>220</v>
      </c>
      <c r="K295" t="s">
        <v>221</v>
      </c>
      <c r="L295">
        <v>600</v>
      </c>
      <c r="M295" s="211">
        <v>44427</v>
      </c>
      <c r="O295" s="212" t="s">
        <v>227</v>
      </c>
      <c r="P295" t="s">
        <v>222</v>
      </c>
      <c r="S295">
        <v>0</v>
      </c>
      <c r="T295">
        <v>0</v>
      </c>
      <c r="U295">
        <v>0</v>
      </c>
      <c r="V295">
        <v>0</v>
      </c>
      <c r="W295">
        <v>0</v>
      </c>
      <c r="X295" s="140">
        <v>600</v>
      </c>
      <c r="Y295" s="209">
        <f t="shared" si="4"/>
        <v>600</v>
      </c>
      <c r="Z295">
        <v>0</v>
      </c>
      <c r="AE295"/>
      <c r="AF295"/>
      <c r="AG295" t="s">
        <v>223</v>
      </c>
      <c r="AN295" t="s">
        <v>218</v>
      </c>
      <c r="AO295" t="s">
        <v>224</v>
      </c>
      <c r="AP295" t="s">
        <v>251</v>
      </c>
      <c r="AQ295">
        <v>0.13</v>
      </c>
      <c r="AR295" t="s">
        <v>226</v>
      </c>
    </row>
    <row r="296" hidden="1" spans="1:44">
      <c r="A296" t="s">
        <v>105</v>
      </c>
      <c r="B296" t="s">
        <v>34</v>
      </c>
      <c r="C296" s="209" t="s">
        <v>35</v>
      </c>
      <c r="D296" s="210">
        <v>71020121070338</v>
      </c>
      <c r="E296" s="211">
        <v>44384</v>
      </c>
      <c r="F296" t="s">
        <v>218</v>
      </c>
      <c r="G296" t="s">
        <v>219</v>
      </c>
      <c r="H296">
        <v>3</v>
      </c>
      <c r="I296" t="s">
        <v>115</v>
      </c>
      <c r="J296" t="s">
        <v>220</v>
      </c>
      <c r="K296" t="s">
        <v>221</v>
      </c>
      <c r="L296">
        <v>600</v>
      </c>
      <c r="M296" s="211">
        <v>44441</v>
      </c>
      <c r="O296" s="212" t="s">
        <v>241</v>
      </c>
      <c r="P296" t="s">
        <v>222</v>
      </c>
      <c r="S296">
        <v>0</v>
      </c>
      <c r="T296">
        <v>0</v>
      </c>
      <c r="U296">
        <v>0</v>
      </c>
      <c r="V296">
        <v>0</v>
      </c>
      <c r="W296">
        <v>0</v>
      </c>
      <c r="X296" s="140">
        <v>600</v>
      </c>
      <c r="Y296" s="209">
        <f t="shared" si="4"/>
        <v>600</v>
      </c>
      <c r="Z296">
        <v>0</v>
      </c>
      <c r="AE296"/>
      <c r="AF296"/>
      <c r="AG296" t="s">
        <v>223</v>
      </c>
      <c r="AN296" t="s">
        <v>218</v>
      </c>
      <c r="AO296" t="s">
        <v>224</v>
      </c>
      <c r="AP296" t="s">
        <v>251</v>
      </c>
      <c r="AQ296">
        <v>0.13</v>
      </c>
      <c r="AR296" t="s">
        <v>226</v>
      </c>
    </row>
    <row r="297" hidden="1" spans="1:44">
      <c r="A297" t="s">
        <v>105</v>
      </c>
      <c r="B297" t="s">
        <v>34</v>
      </c>
      <c r="C297" s="209" t="s">
        <v>35</v>
      </c>
      <c r="D297" s="210">
        <v>71020121070338</v>
      </c>
      <c r="E297" s="211">
        <v>44384</v>
      </c>
      <c r="F297" t="s">
        <v>218</v>
      </c>
      <c r="G297" t="s">
        <v>219</v>
      </c>
      <c r="H297">
        <v>4</v>
      </c>
      <c r="I297" t="s">
        <v>109</v>
      </c>
      <c r="J297" t="s">
        <v>254</v>
      </c>
      <c r="K297" t="s">
        <v>221</v>
      </c>
      <c r="L297">
        <v>6400</v>
      </c>
      <c r="M297" s="211">
        <v>44398</v>
      </c>
      <c r="O297" s="212" t="s">
        <v>60</v>
      </c>
      <c r="P297" t="s">
        <v>222</v>
      </c>
      <c r="S297">
        <v>0</v>
      </c>
      <c r="T297">
        <v>0</v>
      </c>
      <c r="U297">
        <v>0</v>
      </c>
      <c r="V297">
        <v>0</v>
      </c>
      <c r="W297">
        <v>0</v>
      </c>
      <c r="X297" s="140">
        <v>6400</v>
      </c>
      <c r="Y297" s="209">
        <f t="shared" si="4"/>
        <v>6400</v>
      </c>
      <c r="Z297">
        <v>0</v>
      </c>
      <c r="AE297"/>
      <c r="AF297"/>
      <c r="AG297" t="s">
        <v>223</v>
      </c>
      <c r="AN297" t="s">
        <v>218</v>
      </c>
      <c r="AO297" t="s">
        <v>224</v>
      </c>
      <c r="AP297" t="s">
        <v>251</v>
      </c>
      <c r="AQ297">
        <v>0.13</v>
      </c>
      <c r="AR297" t="s">
        <v>226</v>
      </c>
    </row>
    <row r="298" hidden="1" spans="1:44">
      <c r="A298" t="s">
        <v>105</v>
      </c>
      <c r="B298" t="s">
        <v>34</v>
      </c>
      <c r="C298" s="209" t="s">
        <v>35</v>
      </c>
      <c r="D298" s="210">
        <v>71020121070338</v>
      </c>
      <c r="E298" s="211">
        <v>44384</v>
      </c>
      <c r="F298" t="s">
        <v>218</v>
      </c>
      <c r="G298" t="s">
        <v>219</v>
      </c>
      <c r="H298">
        <v>5</v>
      </c>
      <c r="I298" t="s">
        <v>109</v>
      </c>
      <c r="J298" t="s">
        <v>254</v>
      </c>
      <c r="K298" t="s">
        <v>221</v>
      </c>
      <c r="L298">
        <v>6000</v>
      </c>
      <c r="M298" s="211">
        <v>44433</v>
      </c>
      <c r="O298" s="212" t="s">
        <v>227</v>
      </c>
      <c r="P298" t="s">
        <v>222</v>
      </c>
      <c r="S298">
        <v>0</v>
      </c>
      <c r="T298">
        <v>0</v>
      </c>
      <c r="U298">
        <v>0</v>
      </c>
      <c r="V298">
        <v>0</v>
      </c>
      <c r="W298">
        <v>0</v>
      </c>
      <c r="X298" s="140">
        <v>6000</v>
      </c>
      <c r="Y298" s="209">
        <f t="shared" si="4"/>
        <v>6000</v>
      </c>
      <c r="Z298">
        <v>0</v>
      </c>
      <c r="AE298"/>
      <c r="AF298"/>
      <c r="AG298" t="s">
        <v>223</v>
      </c>
      <c r="AN298" t="s">
        <v>218</v>
      </c>
      <c r="AO298" t="s">
        <v>224</v>
      </c>
      <c r="AP298" t="s">
        <v>251</v>
      </c>
      <c r="AQ298">
        <v>0.13</v>
      </c>
      <c r="AR298" t="s">
        <v>226</v>
      </c>
    </row>
    <row r="299" hidden="1" spans="1:44">
      <c r="A299" t="s">
        <v>105</v>
      </c>
      <c r="B299" t="s">
        <v>34</v>
      </c>
      <c r="C299" s="209" t="s">
        <v>35</v>
      </c>
      <c r="D299" s="210">
        <v>71020121070338</v>
      </c>
      <c r="E299" s="211">
        <v>44384</v>
      </c>
      <c r="F299" t="s">
        <v>218</v>
      </c>
      <c r="G299" t="s">
        <v>219</v>
      </c>
      <c r="H299">
        <v>6</v>
      </c>
      <c r="I299" t="s">
        <v>114</v>
      </c>
      <c r="J299" t="s">
        <v>255</v>
      </c>
      <c r="K299" t="s">
        <v>221</v>
      </c>
      <c r="L299">
        <v>2000</v>
      </c>
      <c r="M299" s="211">
        <v>44398</v>
      </c>
      <c r="O299" s="212" t="s">
        <v>60</v>
      </c>
      <c r="P299" t="s">
        <v>222</v>
      </c>
      <c r="S299">
        <v>0</v>
      </c>
      <c r="T299">
        <v>0</v>
      </c>
      <c r="U299">
        <v>0</v>
      </c>
      <c r="V299">
        <v>0</v>
      </c>
      <c r="W299">
        <v>0</v>
      </c>
      <c r="X299" s="140">
        <v>2000</v>
      </c>
      <c r="Y299" s="209">
        <f t="shared" si="4"/>
        <v>2000</v>
      </c>
      <c r="Z299">
        <v>0</v>
      </c>
      <c r="AE299"/>
      <c r="AF299"/>
      <c r="AG299" t="s">
        <v>223</v>
      </c>
      <c r="AN299" t="s">
        <v>218</v>
      </c>
      <c r="AO299" t="s">
        <v>224</v>
      </c>
      <c r="AP299" t="s">
        <v>251</v>
      </c>
      <c r="AQ299">
        <v>0.13</v>
      </c>
      <c r="AR299" t="s">
        <v>226</v>
      </c>
    </row>
    <row r="300" hidden="1" spans="1:44">
      <c r="A300" t="s">
        <v>105</v>
      </c>
      <c r="B300" t="s">
        <v>34</v>
      </c>
      <c r="C300" s="209" t="s">
        <v>35</v>
      </c>
      <c r="D300" s="210">
        <v>71020121070353</v>
      </c>
      <c r="E300" s="211">
        <v>44384</v>
      </c>
      <c r="F300" t="s">
        <v>218</v>
      </c>
      <c r="G300" t="s">
        <v>219</v>
      </c>
      <c r="H300">
        <v>1</v>
      </c>
      <c r="I300" t="s">
        <v>106</v>
      </c>
      <c r="J300" t="s">
        <v>220</v>
      </c>
      <c r="K300" t="s">
        <v>221</v>
      </c>
      <c r="L300">
        <v>4000</v>
      </c>
      <c r="M300" s="211">
        <v>44400</v>
      </c>
      <c r="O300" s="212" t="s">
        <v>60</v>
      </c>
      <c r="P300" t="s">
        <v>222</v>
      </c>
      <c r="S300">
        <v>0</v>
      </c>
      <c r="T300">
        <v>0</v>
      </c>
      <c r="U300">
        <v>0</v>
      </c>
      <c r="V300">
        <v>0</v>
      </c>
      <c r="W300">
        <v>0</v>
      </c>
      <c r="X300" s="140">
        <v>4000</v>
      </c>
      <c r="Y300" s="209">
        <f t="shared" si="4"/>
        <v>4000</v>
      </c>
      <c r="Z300">
        <v>0</v>
      </c>
      <c r="AE300"/>
      <c r="AF300"/>
      <c r="AG300" t="s">
        <v>223</v>
      </c>
      <c r="AN300" t="s">
        <v>218</v>
      </c>
      <c r="AO300" t="s">
        <v>224</v>
      </c>
      <c r="AP300" t="s">
        <v>251</v>
      </c>
      <c r="AQ300">
        <v>0.13</v>
      </c>
      <c r="AR300" t="s">
        <v>226</v>
      </c>
    </row>
    <row r="301" hidden="1" spans="1:44">
      <c r="A301" t="s">
        <v>105</v>
      </c>
      <c r="B301" t="s">
        <v>34</v>
      </c>
      <c r="C301" s="209" t="s">
        <v>35</v>
      </c>
      <c r="D301" s="210">
        <v>71020121070353</v>
      </c>
      <c r="E301" s="211">
        <v>44384</v>
      </c>
      <c r="F301" t="s">
        <v>218</v>
      </c>
      <c r="G301" t="s">
        <v>219</v>
      </c>
      <c r="H301">
        <v>2</v>
      </c>
      <c r="I301" t="s">
        <v>107</v>
      </c>
      <c r="J301" t="s">
        <v>220</v>
      </c>
      <c r="K301" t="s">
        <v>221</v>
      </c>
      <c r="L301">
        <v>3500</v>
      </c>
      <c r="M301" s="211">
        <v>44404</v>
      </c>
      <c r="N301" s="211">
        <v>44409</v>
      </c>
      <c r="O301" s="212" t="s">
        <v>227</v>
      </c>
      <c r="P301" t="s">
        <v>222</v>
      </c>
      <c r="S301">
        <v>0</v>
      </c>
      <c r="T301">
        <v>0</v>
      </c>
      <c r="U301">
        <v>0</v>
      </c>
      <c r="V301">
        <v>0</v>
      </c>
      <c r="W301">
        <v>0</v>
      </c>
      <c r="X301" s="140">
        <v>3500</v>
      </c>
      <c r="Y301" s="209">
        <f t="shared" si="4"/>
        <v>3500</v>
      </c>
      <c r="Z301">
        <v>0</v>
      </c>
      <c r="AE301"/>
      <c r="AF301"/>
      <c r="AG301" t="s">
        <v>223</v>
      </c>
      <c r="AN301" t="s">
        <v>218</v>
      </c>
      <c r="AO301" t="s">
        <v>224</v>
      </c>
      <c r="AP301" t="s">
        <v>251</v>
      </c>
      <c r="AQ301">
        <v>0.13</v>
      </c>
      <c r="AR301" t="s">
        <v>226</v>
      </c>
    </row>
    <row r="302" hidden="1" spans="1:44">
      <c r="A302" t="s">
        <v>105</v>
      </c>
      <c r="B302" t="s">
        <v>34</v>
      </c>
      <c r="C302" s="209" t="s">
        <v>35</v>
      </c>
      <c r="D302" s="210">
        <v>71020121070353</v>
      </c>
      <c r="E302" s="211">
        <v>44384</v>
      </c>
      <c r="F302" t="s">
        <v>218</v>
      </c>
      <c r="G302" t="s">
        <v>219</v>
      </c>
      <c r="H302">
        <v>3</v>
      </c>
      <c r="I302" t="s">
        <v>107</v>
      </c>
      <c r="J302" t="s">
        <v>220</v>
      </c>
      <c r="K302" t="s">
        <v>221</v>
      </c>
      <c r="L302">
        <v>2300</v>
      </c>
      <c r="M302" s="211">
        <v>44411</v>
      </c>
      <c r="N302" s="211">
        <v>44411</v>
      </c>
      <c r="O302" s="212" t="s">
        <v>227</v>
      </c>
      <c r="P302" t="s">
        <v>222</v>
      </c>
      <c r="S302">
        <v>0</v>
      </c>
      <c r="T302">
        <v>0</v>
      </c>
      <c r="U302">
        <v>0</v>
      </c>
      <c r="V302">
        <v>0</v>
      </c>
      <c r="W302">
        <v>0</v>
      </c>
      <c r="X302" s="140">
        <v>2300</v>
      </c>
      <c r="Y302" s="209">
        <f t="shared" si="4"/>
        <v>2300</v>
      </c>
      <c r="Z302">
        <v>0</v>
      </c>
      <c r="AE302"/>
      <c r="AF302"/>
      <c r="AG302" t="s">
        <v>223</v>
      </c>
      <c r="AN302" t="s">
        <v>218</v>
      </c>
      <c r="AO302" t="s">
        <v>224</v>
      </c>
      <c r="AP302" t="s">
        <v>251</v>
      </c>
      <c r="AQ302">
        <v>0.13</v>
      </c>
      <c r="AR302" t="s">
        <v>226</v>
      </c>
    </row>
    <row r="303" hidden="1" spans="1:44">
      <c r="A303" t="s">
        <v>105</v>
      </c>
      <c r="B303" t="s">
        <v>34</v>
      </c>
      <c r="C303" s="209" t="s">
        <v>35</v>
      </c>
      <c r="D303" s="210">
        <v>71020121070353</v>
      </c>
      <c r="E303" s="211">
        <v>44384</v>
      </c>
      <c r="F303" t="s">
        <v>218</v>
      </c>
      <c r="G303" t="s">
        <v>219</v>
      </c>
      <c r="H303">
        <v>4</v>
      </c>
      <c r="I303" t="s">
        <v>108</v>
      </c>
      <c r="J303" t="s">
        <v>220</v>
      </c>
      <c r="K303" t="s">
        <v>221</v>
      </c>
      <c r="L303">
        <v>3200</v>
      </c>
      <c r="M303" s="211">
        <v>44405</v>
      </c>
      <c r="N303" s="211">
        <v>44411</v>
      </c>
      <c r="O303" s="212" t="s">
        <v>227</v>
      </c>
      <c r="P303" t="s">
        <v>222</v>
      </c>
      <c r="S303">
        <v>0</v>
      </c>
      <c r="T303">
        <v>0</v>
      </c>
      <c r="U303">
        <v>0</v>
      </c>
      <c r="V303">
        <v>0</v>
      </c>
      <c r="W303">
        <v>0</v>
      </c>
      <c r="X303" s="140">
        <v>3200</v>
      </c>
      <c r="Y303" s="209">
        <f t="shared" si="4"/>
        <v>3200</v>
      </c>
      <c r="Z303">
        <v>0</v>
      </c>
      <c r="AE303"/>
      <c r="AF303"/>
      <c r="AG303" t="s">
        <v>223</v>
      </c>
      <c r="AN303" t="s">
        <v>218</v>
      </c>
      <c r="AO303" t="s">
        <v>224</v>
      </c>
      <c r="AP303" t="s">
        <v>251</v>
      </c>
      <c r="AQ303">
        <v>0.13</v>
      </c>
      <c r="AR303" t="s">
        <v>226</v>
      </c>
    </row>
    <row r="304" hidden="1" spans="1:44">
      <c r="A304" t="s">
        <v>105</v>
      </c>
      <c r="B304" t="s">
        <v>34</v>
      </c>
      <c r="C304" s="209" t="s">
        <v>35</v>
      </c>
      <c r="D304" s="210">
        <v>71020121070575</v>
      </c>
      <c r="E304" s="211">
        <v>44389</v>
      </c>
      <c r="F304" t="s">
        <v>218</v>
      </c>
      <c r="G304" t="s">
        <v>219</v>
      </c>
      <c r="H304">
        <v>1</v>
      </c>
      <c r="I304" t="s">
        <v>253</v>
      </c>
      <c r="J304" t="s">
        <v>220</v>
      </c>
      <c r="K304" t="s">
        <v>221</v>
      </c>
      <c r="L304">
        <v>5556</v>
      </c>
      <c r="M304" s="211">
        <v>44417</v>
      </c>
      <c r="N304" s="211">
        <v>44417</v>
      </c>
      <c r="O304" s="212" t="s">
        <v>227</v>
      </c>
      <c r="P304" t="s">
        <v>222</v>
      </c>
      <c r="S304">
        <v>0</v>
      </c>
      <c r="T304">
        <v>0</v>
      </c>
      <c r="U304">
        <v>0</v>
      </c>
      <c r="V304">
        <v>0</v>
      </c>
      <c r="W304">
        <v>0</v>
      </c>
      <c r="X304" s="140">
        <v>5556</v>
      </c>
      <c r="Y304" s="209">
        <f t="shared" si="4"/>
        <v>5556</v>
      </c>
      <c r="Z304">
        <v>0</v>
      </c>
      <c r="AE304"/>
      <c r="AF304"/>
      <c r="AG304" t="s">
        <v>223</v>
      </c>
      <c r="AN304" t="s">
        <v>218</v>
      </c>
      <c r="AO304" t="s">
        <v>224</v>
      </c>
      <c r="AP304" t="s">
        <v>251</v>
      </c>
      <c r="AQ304">
        <v>0.13</v>
      </c>
      <c r="AR304" t="s">
        <v>238</v>
      </c>
    </row>
    <row r="305" hidden="1" spans="1:44">
      <c r="A305" t="s">
        <v>105</v>
      </c>
      <c r="B305" t="s">
        <v>34</v>
      </c>
      <c r="C305" s="209" t="s">
        <v>35</v>
      </c>
      <c r="D305" s="210">
        <v>71020121070575</v>
      </c>
      <c r="E305" s="211">
        <v>44389</v>
      </c>
      <c r="F305" t="s">
        <v>218</v>
      </c>
      <c r="G305" t="s">
        <v>219</v>
      </c>
      <c r="H305">
        <v>2</v>
      </c>
      <c r="I305" t="s">
        <v>117</v>
      </c>
      <c r="J305" t="s">
        <v>220</v>
      </c>
      <c r="K305" t="s">
        <v>221</v>
      </c>
      <c r="L305">
        <v>5500</v>
      </c>
      <c r="M305" s="211">
        <v>44417</v>
      </c>
      <c r="N305" s="211">
        <v>44417</v>
      </c>
      <c r="O305" s="212" t="s">
        <v>227</v>
      </c>
      <c r="P305" t="s">
        <v>222</v>
      </c>
      <c r="S305">
        <v>0</v>
      </c>
      <c r="T305">
        <v>0</v>
      </c>
      <c r="U305">
        <v>0</v>
      </c>
      <c r="V305">
        <v>0</v>
      </c>
      <c r="W305">
        <v>0</v>
      </c>
      <c r="X305" s="140">
        <v>5500</v>
      </c>
      <c r="Y305" s="209">
        <f t="shared" si="4"/>
        <v>5500</v>
      </c>
      <c r="Z305">
        <v>0</v>
      </c>
      <c r="AE305"/>
      <c r="AF305"/>
      <c r="AG305" t="s">
        <v>223</v>
      </c>
      <c r="AN305" t="s">
        <v>218</v>
      </c>
      <c r="AO305" t="s">
        <v>224</v>
      </c>
      <c r="AP305" t="s">
        <v>251</v>
      </c>
      <c r="AQ305">
        <v>0.13</v>
      </c>
      <c r="AR305" t="s">
        <v>238</v>
      </c>
    </row>
    <row r="306" hidden="1" spans="1:44">
      <c r="A306" t="s">
        <v>105</v>
      </c>
      <c r="B306" t="s">
        <v>34</v>
      </c>
      <c r="C306" s="209" t="s">
        <v>35</v>
      </c>
      <c r="D306" s="210">
        <v>71020121070743</v>
      </c>
      <c r="E306" s="211">
        <v>44391</v>
      </c>
      <c r="F306" t="s">
        <v>218</v>
      </c>
      <c r="G306" t="s">
        <v>219</v>
      </c>
      <c r="H306">
        <v>1</v>
      </c>
      <c r="I306" t="s">
        <v>115</v>
      </c>
      <c r="J306" t="s">
        <v>220</v>
      </c>
      <c r="K306" t="s">
        <v>221</v>
      </c>
      <c r="L306">
        <v>1600</v>
      </c>
      <c r="M306" s="211">
        <v>44394</v>
      </c>
      <c r="O306" s="212" t="s">
        <v>60</v>
      </c>
      <c r="P306" t="s">
        <v>222</v>
      </c>
      <c r="S306">
        <v>0</v>
      </c>
      <c r="T306">
        <v>0</v>
      </c>
      <c r="U306">
        <v>0</v>
      </c>
      <c r="V306">
        <v>0</v>
      </c>
      <c r="W306">
        <v>0</v>
      </c>
      <c r="X306" s="140">
        <v>1600</v>
      </c>
      <c r="Y306" s="209">
        <f t="shared" si="4"/>
        <v>1600</v>
      </c>
      <c r="Z306">
        <v>0</v>
      </c>
      <c r="AE306"/>
      <c r="AF306"/>
      <c r="AG306" t="s">
        <v>223</v>
      </c>
      <c r="AN306" t="s">
        <v>218</v>
      </c>
      <c r="AO306" t="s">
        <v>224</v>
      </c>
      <c r="AP306" t="s">
        <v>251</v>
      </c>
      <c r="AQ306">
        <v>0.13</v>
      </c>
      <c r="AR306" t="s">
        <v>226</v>
      </c>
    </row>
    <row r="307" hidden="1" spans="1:44">
      <c r="A307" t="s">
        <v>105</v>
      </c>
      <c r="B307" t="s">
        <v>28</v>
      </c>
      <c r="C307" s="209" t="s">
        <v>29</v>
      </c>
      <c r="D307" s="210">
        <v>71020121060922</v>
      </c>
      <c r="E307" s="211">
        <v>44368</v>
      </c>
      <c r="F307" t="s">
        <v>218</v>
      </c>
      <c r="G307" t="s">
        <v>219</v>
      </c>
      <c r="H307">
        <v>1</v>
      </c>
      <c r="I307" t="s">
        <v>73</v>
      </c>
      <c r="J307" t="s">
        <v>220</v>
      </c>
      <c r="K307" t="s">
        <v>221</v>
      </c>
      <c r="L307">
        <v>5000</v>
      </c>
      <c r="M307" s="211">
        <v>44391</v>
      </c>
      <c r="N307" s="211">
        <v>44400</v>
      </c>
      <c r="O307" s="212" t="s">
        <v>60</v>
      </c>
      <c r="P307" t="s">
        <v>222</v>
      </c>
      <c r="S307">
        <v>0</v>
      </c>
      <c r="T307">
        <v>0</v>
      </c>
      <c r="U307">
        <v>0</v>
      </c>
      <c r="V307">
        <v>0</v>
      </c>
      <c r="W307">
        <v>0</v>
      </c>
      <c r="X307" s="140">
        <v>5000</v>
      </c>
      <c r="Y307" s="209">
        <f t="shared" si="4"/>
        <v>5000</v>
      </c>
      <c r="Z307">
        <v>0</v>
      </c>
      <c r="AE307"/>
      <c r="AF307"/>
      <c r="AG307" t="s">
        <v>223</v>
      </c>
      <c r="AN307" t="s">
        <v>218</v>
      </c>
      <c r="AO307" t="s">
        <v>224</v>
      </c>
      <c r="AP307" t="s">
        <v>225</v>
      </c>
      <c r="AQ307">
        <v>0.13</v>
      </c>
      <c r="AR307" t="s">
        <v>226</v>
      </c>
    </row>
    <row r="308" hidden="1" spans="1:44">
      <c r="A308" t="s">
        <v>105</v>
      </c>
      <c r="B308" t="s">
        <v>28</v>
      </c>
      <c r="C308" s="209" t="s">
        <v>29</v>
      </c>
      <c r="D308" s="210">
        <v>71020121060922</v>
      </c>
      <c r="E308" s="211">
        <v>44368</v>
      </c>
      <c r="F308" t="s">
        <v>218</v>
      </c>
      <c r="G308" t="s">
        <v>219</v>
      </c>
      <c r="H308">
        <v>2</v>
      </c>
      <c r="I308" t="s">
        <v>73</v>
      </c>
      <c r="J308" t="s">
        <v>220</v>
      </c>
      <c r="K308" t="s">
        <v>221</v>
      </c>
      <c r="L308">
        <v>5000</v>
      </c>
      <c r="M308" s="211">
        <v>44392</v>
      </c>
      <c r="N308" s="211">
        <v>44400</v>
      </c>
      <c r="O308" s="212" t="s">
        <v>60</v>
      </c>
      <c r="P308" t="s">
        <v>222</v>
      </c>
      <c r="S308">
        <v>0</v>
      </c>
      <c r="T308">
        <v>0</v>
      </c>
      <c r="U308">
        <v>0</v>
      </c>
      <c r="V308">
        <v>0</v>
      </c>
      <c r="W308">
        <v>0</v>
      </c>
      <c r="X308" s="140">
        <v>5000</v>
      </c>
      <c r="Y308" s="209">
        <f t="shared" si="4"/>
        <v>5000</v>
      </c>
      <c r="Z308">
        <v>0</v>
      </c>
      <c r="AE308"/>
      <c r="AF308"/>
      <c r="AG308" t="s">
        <v>223</v>
      </c>
      <c r="AN308" t="s">
        <v>218</v>
      </c>
      <c r="AO308" t="s">
        <v>224</v>
      </c>
      <c r="AP308" t="s">
        <v>225</v>
      </c>
      <c r="AQ308">
        <v>0.13</v>
      </c>
      <c r="AR308" t="s">
        <v>226</v>
      </c>
    </row>
    <row r="309" hidden="1" spans="1:44">
      <c r="A309" t="s">
        <v>105</v>
      </c>
      <c r="B309" t="s">
        <v>25</v>
      </c>
      <c r="C309" s="209" t="s">
        <v>26</v>
      </c>
      <c r="D309" s="210">
        <v>71020121030992</v>
      </c>
      <c r="E309" s="211">
        <v>44285</v>
      </c>
      <c r="F309" t="s">
        <v>218</v>
      </c>
      <c r="G309" t="s">
        <v>219</v>
      </c>
      <c r="H309">
        <v>2</v>
      </c>
      <c r="I309" t="s">
        <v>155</v>
      </c>
      <c r="J309" t="s">
        <v>220</v>
      </c>
      <c r="K309" t="s">
        <v>221</v>
      </c>
      <c r="L309">
        <v>900</v>
      </c>
      <c r="M309" s="211">
        <v>44291</v>
      </c>
      <c r="N309" s="211">
        <v>44341</v>
      </c>
      <c r="O309" s="212" t="s">
        <v>60</v>
      </c>
      <c r="P309" t="s">
        <v>222</v>
      </c>
      <c r="S309">
        <v>674</v>
      </c>
      <c r="T309">
        <v>674</v>
      </c>
      <c r="U309">
        <v>0</v>
      </c>
      <c r="V309">
        <v>674</v>
      </c>
      <c r="W309">
        <v>811</v>
      </c>
      <c r="X309" s="140">
        <v>226</v>
      </c>
      <c r="Y309" s="209">
        <f t="shared" si="4"/>
        <v>226</v>
      </c>
      <c r="Z309">
        <v>0</v>
      </c>
      <c r="AE309">
        <v>44344</v>
      </c>
      <c r="AF309">
        <v>44345</v>
      </c>
      <c r="AG309" t="s">
        <v>223</v>
      </c>
      <c r="AN309" t="s">
        <v>218</v>
      </c>
      <c r="AO309" t="s">
        <v>224</v>
      </c>
      <c r="AP309" t="s">
        <v>225</v>
      </c>
      <c r="AQ309">
        <v>0.13</v>
      </c>
      <c r="AR309" t="s">
        <v>226</v>
      </c>
    </row>
    <row r="310" hidden="1" spans="1:44">
      <c r="A310" t="s">
        <v>105</v>
      </c>
      <c r="B310" t="s">
        <v>25</v>
      </c>
      <c r="C310" s="209" t="s">
        <v>26</v>
      </c>
      <c r="D310" s="210">
        <v>71020121031262</v>
      </c>
      <c r="E310" s="211">
        <v>44292</v>
      </c>
      <c r="F310" t="s">
        <v>218</v>
      </c>
      <c r="G310" t="s">
        <v>219</v>
      </c>
      <c r="H310">
        <v>3</v>
      </c>
      <c r="I310" t="s">
        <v>161</v>
      </c>
      <c r="J310" t="s">
        <v>220</v>
      </c>
      <c r="K310" t="s">
        <v>221</v>
      </c>
      <c r="L310">
        <v>1000</v>
      </c>
      <c r="M310" s="211">
        <v>44289</v>
      </c>
      <c r="N310" s="211">
        <v>44301</v>
      </c>
      <c r="O310" s="212" t="s">
        <v>60</v>
      </c>
      <c r="P310" t="s">
        <v>222</v>
      </c>
      <c r="S310">
        <v>954</v>
      </c>
      <c r="T310">
        <v>954</v>
      </c>
      <c r="U310">
        <v>0</v>
      </c>
      <c r="V310">
        <v>954</v>
      </c>
      <c r="W310">
        <v>864</v>
      </c>
      <c r="X310" s="140">
        <v>46</v>
      </c>
      <c r="Y310" s="209">
        <f t="shared" si="4"/>
        <v>46</v>
      </c>
      <c r="Z310">
        <v>0</v>
      </c>
      <c r="AE310">
        <v>44391</v>
      </c>
      <c r="AF310">
        <v>44391</v>
      </c>
      <c r="AG310" t="s">
        <v>223</v>
      </c>
      <c r="AN310" t="s">
        <v>218</v>
      </c>
      <c r="AO310" t="s">
        <v>224</v>
      </c>
      <c r="AP310" t="s">
        <v>225</v>
      </c>
      <c r="AQ310">
        <v>0.13</v>
      </c>
      <c r="AR310" t="s">
        <v>226</v>
      </c>
    </row>
    <row r="311" hidden="1" spans="1:44">
      <c r="A311" t="s">
        <v>105</v>
      </c>
      <c r="B311" t="s">
        <v>25</v>
      </c>
      <c r="C311" s="209" t="s">
        <v>26</v>
      </c>
      <c r="D311" s="210">
        <v>71020121031262</v>
      </c>
      <c r="E311" s="211">
        <v>44292</v>
      </c>
      <c r="F311" t="s">
        <v>218</v>
      </c>
      <c r="G311" t="s">
        <v>219</v>
      </c>
      <c r="H311">
        <v>9</v>
      </c>
      <c r="I311" t="s">
        <v>151</v>
      </c>
      <c r="J311" t="s">
        <v>220</v>
      </c>
      <c r="K311" t="s">
        <v>221</v>
      </c>
      <c r="L311">
        <v>1000</v>
      </c>
      <c r="M311" s="211">
        <v>44322</v>
      </c>
      <c r="N311" s="211">
        <v>44360</v>
      </c>
      <c r="O311" s="212" t="s">
        <v>60</v>
      </c>
      <c r="P311" t="s">
        <v>222</v>
      </c>
      <c r="S311">
        <v>849</v>
      </c>
      <c r="T311">
        <v>849</v>
      </c>
      <c r="U311">
        <v>0</v>
      </c>
      <c r="V311">
        <v>849</v>
      </c>
      <c r="W311">
        <v>0</v>
      </c>
      <c r="X311" s="140">
        <v>151</v>
      </c>
      <c r="Y311" s="209">
        <f t="shared" si="4"/>
        <v>151</v>
      </c>
      <c r="Z311">
        <v>0</v>
      </c>
      <c r="AE311">
        <v>44385</v>
      </c>
      <c r="AF311">
        <v>44385</v>
      </c>
      <c r="AG311" t="s">
        <v>223</v>
      </c>
      <c r="AN311" t="s">
        <v>218</v>
      </c>
      <c r="AO311" t="s">
        <v>224</v>
      </c>
      <c r="AP311" t="s">
        <v>225</v>
      </c>
      <c r="AQ311">
        <v>0.13</v>
      </c>
      <c r="AR311" t="s">
        <v>226</v>
      </c>
    </row>
    <row r="312" hidden="1" spans="1:44">
      <c r="A312" t="s">
        <v>105</v>
      </c>
      <c r="B312" t="s">
        <v>25</v>
      </c>
      <c r="C312" s="209" t="s">
        <v>26</v>
      </c>
      <c r="D312" s="210">
        <v>71020121031360</v>
      </c>
      <c r="E312" s="211">
        <v>44293</v>
      </c>
      <c r="F312" t="s">
        <v>218</v>
      </c>
      <c r="G312" t="s">
        <v>219</v>
      </c>
      <c r="H312">
        <v>8</v>
      </c>
      <c r="I312" t="s">
        <v>151</v>
      </c>
      <c r="J312" t="s">
        <v>220</v>
      </c>
      <c r="K312" t="s">
        <v>221</v>
      </c>
      <c r="L312">
        <v>500</v>
      </c>
      <c r="M312" s="211">
        <v>44328</v>
      </c>
      <c r="N312" s="211">
        <v>44361</v>
      </c>
      <c r="O312" s="212" t="s">
        <v>60</v>
      </c>
      <c r="P312" t="s">
        <v>222</v>
      </c>
      <c r="S312">
        <v>0</v>
      </c>
      <c r="T312">
        <v>0</v>
      </c>
      <c r="U312">
        <v>0</v>
      </c>
      <c r="V312">
        <v>0</v>
      </c>
      <c r="W312">
        <v>0</v>
      </c>
      <c r="X312" s="140">
        <v>500</v>
      </c>
      <c r="Y312" s="209">
        <f t="shared" si="4"/>
        <v>500</v>
      </c>
      <c r="Z312">
        <v>0</v>
      </c>
      <c r="AE312"/>
      <c r="AF312"/>
      <c r="AG312" t="s">
        <v>223</v>
      </c>
      <c r="AN312" t="s">
        <v>218</v>
      </c>
      <c r="AO312" t="s">
        <v>224</v>
      </c>
      <c r="AP312" t="s">
        <v>225</v>
      </c>
      <c r="AQ312">
        <v>0.13</v>
      </c>
      <c r="AR312" t="s">
        <v>226</v>
      </c>
    </row>
    <row r="313" hidden="1" spans="1:44">
      <c r="A313" t="s">
        <v>105</v>
      </c>
      <c r="B313" t="s">
        <v>25</v>
      </c>
      <c r="C313" s="209" t="s">
        <v>26</v>
      </c>
      <c r="D313" s="210">
        <v>71020121031525</v>
      </c>
      <c r="E313" s="211">
        <v>44296</v>
      </c>
      <c r="F313" t="s">
        <v>218</v>
      </c>
      <c r="G313" t="s">
        <v>219</v>
      </c>
      <c r="H313">
        <v>1</v>
      </c>
      <c r="I313" t="s">
        <v>148</v>
      </c>
      <c r="J313" t="s">
        <v>229</v>
      </c>
      <c r="K313" t="s">
        <v>221</v>
      </c>
      <c r="L313">
        <v>1900</v>
      </c>
      <c r="M313" s="211">
        <v>44312</v>
      </c>
      <c r="N313" s="211">
        <v>44343</v>
      </c>
      <c r="O313" s="212" t="s">
        <v>60</v>
      </c>
      <c r="P313" t="s">
        <v>222</v>
      </c>
      <c r="S313">
        <v>1474</v>
      </c>
      <c r="T313">
        <v>1474</v>
      </c>
      <c r="U313">
        <v>0</v>
      </c>
      <c r="V313">
        <v>1474</v>
      </c>
      <c r="W313">
        <v>1490</v>
      </c>
      <c r="X313" s="140">
        <v>426</v>
      </c>
      <c r="Y313" s="209">
        <f t="shared" si="4"/>
        <v>426</v>
      </c>
      <c r="Z313">
        <v>0</v>
      </c>
      <c r="AE313">
        <v>44340</v>
      </c>
      <c r="AF313">
        <v>44340</v>
      </c>
      <c r="AG313" t="s">
        <v>223</v>
      </c>
      <c r="AN313" t="s">
        <v>218</v>
      </c>
      <c r="AO313" t="s">
        <v>224</v>
      </c>
      <c r="AP313" t="s">
        <v>225</v>
      </c>
      <c r="AQ313">
        <v>0.13</v>
      </c>
      <c r="AR313" t="s">
        <v>226</v>
      </c>
    </row>
    <row r="314" hidden="1" spans="1:44">
      <c r="A314" t="s">
        <v>105</v>
      </c>
      <c r="B314" t="s">
        <v>25</v>
      </c>
      <c r="C314" s="209" t="s">
        <v>26</v>
      </c>
      <c r="D314" s="210">
        <v>71020121031598</v>
      </c>
      <c r="E314" s="211">
        <v>44299</v>
      </c>
      <c r="F314" t="s">
        <v>218</v>
      </c>
      <c r="G314" t="s">
        <v>219</v>
      </c>
      <c r="H314">
        <v>1</v>
      </c>
      <c r="I314" t="s">
        <v>155</v>
      </c>
      <c r="J314" t="s">
        <v>220</v>
      </c>
      <c r="K314" t="s">
        <v>221</v>
      </c>
      <c r="L314">
        <v>1400</v>
      </c>
      <c r="M314" s="211">
        <v>44308</v>
      </c>
      <c r="N314" s="211">
        <v>44343</v>
      </c>
      <c r="O314" s="212" t="s">
        <v>60</v>
      </c>
      <c r="P314" t="s">
        <v>222</v>
      </c>
      <c r="S314">
        <v>723</v>
      </c>
      <c r="T314">
        <v>723</v>
      </c>
      <c r="U314">
        <v>0</v>
      </c>
      <c r="V314">
        <v>723</v>
      </c>
      <c r="W314">
        <v>723</v>
      </c>
      <c r="X314" s="140">
        <v>677</v>
      </c>
      <c r="Y314" s="209">
        <f t="shared" si="4"/>
        <v>677</v>
      </c>
      <c r="Z314">
        <v>0</v>
      </c>
      <c r="AE314">
        <v>44344</v>
      </c>
      <c r="AF314">
        <v>44345</v>
      </c>
      <c r="AG314" t="s">
        <v>223</v>
      </c>
      <c r="AN314" t="s">
        <v>218</v>
      </c>
      <c r="AO314" t="s">
        <v>224</v>
      </c>
      <c r="AP314" t="s">
        <v>225</v>
      </c>
      <c r="AQ314">
        <v>0.13</v>
      </c>
      <c r="AR314" t="s">
        <v>226</v>
      </c>
    </row>
    <row r="315" hidden="1" spans="1:44">
      <c r="A315" t="s">
        <v>105</v>
      </c>
      <c r="B315" t="s">
        <v>25</v>
      </c>
      <c r="C315" s="209" t="s">
        <v>26</v>
      </c>
      <c r="D315" s="210">
        <v>71020121032031</v>
      </c>
      <c r="E315" s="211">
        <v>44308</v>
      </c>
      <c r="F315" t="s">
        <v>218</v>
      </c>
      <c r="G315" t="s">
        <v>219</v>
      </c>
      <c r="H315">
        <v>2</v>
      </c>
      <c r="I315" t="s">
        <v>154</v>
      </c>
      <c r="J315" t="s">
        <v>220</v>
      </c>
      <c r="K315" t="s">
        <v>221</v>
      </c>
      <c r="L315">
        <v>700</v>
      </c>
      <c r="M315" s="211">
        <v>44319</v>
      </c>
      <c r="N315" s="211">
        <v>44362</v>
      </c>
      <c r="O315" s="212" t="s">
        <v>60</v>
      </c>
      <c r="P315" t="s">
        <v>222</v>
      </c>
      <c r="S315">
        <v>0</v>
      </c>
      <c r="T315">
        <v>0</v>
      </c>
      <c r="U315">
        <v>0</v>
      </c>
      <c r="V315">
        <v>0</v>
      </c>
      <c r="W315">
        <v>0</v>
      </c>
      <c r="X315" s="140">
        <v>700</v>
      </c>
      <c r="Y315" s="209">
        <f t="shared" si="4"/>
        <v>700</v>
      </c>
      <c r="Z315">
        <v>0</v>
      </c>
      <c r="AE315"/>
      <c r="AF315"/>
      <c r="AG315" t="s">
        <v>223</v>
      </c>
      <c r="AN315" t="s">
        <v>218</v>
      </c>
      <c r="AO315" t="s">
        <v>224</v>
      </c>
      <c r="AP315" t="s">
        <v>225</v>
      </c>
      <c r="AQ315">
        <v>0.13</v>
      </c>
      <c r="AR315" t="s">
        <v>226</v>
      </c>
    </row>
    <row r="316" hidden="1" spans="1:44">
      <c r="A316" t="s">
        <v>105</v>
      </c>
      <c r="B316" t="s">
        <v>25</v>
      </c>
      <c r="C316" s="209" t="s">
        <v>26</v>
      </c>
      <c r="D316" s="210">
        <v>71020121032238</v>
      </c>
      <c r="E316" s="211">
        <v>44313</v>
      </c>
      <c r="F316" t="s">
        <v>218</v>
      </c>
      <c r="G316" t="s">
        <v>219</v>
      </c>
      <c r="H316">
        <v>1</v>
      </c>
      <c r="I316" t="s">
        <v>150</v>
      </c>
      <c r="J316" t="s">
        <v>228</v>
      </c>
      <c r="K316" t="s">
        <v>221</v>
      </c>
      <c r="L316">
        <v>3000</v>
      </c>
      <c r="M316" s="211">
        <v>44336</v>
      </c>
      <c r="N316" s="211">
        <v>44350</v>
      </c>
      <c r="O316" s="212" t="s">
        <v>60</v>
      </c>
      <c r="P316" t="s">
        <v>222</v>
      </c>
      <c r="S316">
        <v>2689</v>
      </c>
      <c r="T316">
        <v>2689</v>
      </c>
      <c r="U316">
        <v>0</v>
      </c>
      <c r="V316">
        <v>2689</v>
      </c>
      <c r="W316">
        <v>2689</v>
      </c>
      <c r="X316" s="140">
        <v>311</v>
      </c>
      <c r="Y316" s="209">
        <f t="shared" si="4"/>
        <v>311</v>
      </c>
      <c r="Z316">
        <v>0</v>
      </c>
      <c r="AE316">
        <v>44355</v>
      </c>
      <c r="AF316">
        <v>44356</v>
      </c>
      <c r="AG316" t="s">
        <v>223</v>
      </c>
      <c r="AN316" t="s">
        <v>218</v>
      </c>
      <c r="AO316" t="s">
        <v>224</v>
      </c>
      <c r="AP316" t="s">
        <v>225</v>
      </c>
      <c r="AQ316">
        <v>0.13</v>
      </c>
      <c r="AR316" t="s">
        <v>226</v>
      </c>
    </row>
    <row r="317" hidden="1" spans="1:44">
      <c r="A317" t="s">
        <v>105</v>
      </c>
      <c r="B317" t="s">
        <v>25</v>
      </c>
      <c r="C317" s="209" t="s">
        <v>26</v>
      </c>
      <c r="D317" s="210">
        <v>71020121032238</v>
      </c>
      <c r="E317" s="211">
        <v>44313</v>
      </c>
      <c r="F317" t="s">
        <v>218</v>
      </c>
      <c r="G317" t="s">
        <v>219</v>
      </c>
      <c r="H317">
        <v>3</v>
      </c>
      <c r="I317" t="s">
        <v>155</v>
      </c>
      <c r="J317" t="s">
        <v>220</v>
      </c>
      <c r="K317" t="s">
        <v>221</v>
      </c>
      <c r="L317">
        <v>1400</v>
      </c>
      <c r="M317" s="211">
        <v>44355</v>
      </c>
      <c r="N317" s="211">
        <v>44362</v>
      </c>
      <c r="O317" s="212" t="s">
        <v>60</v>
      </c>
      <c r="P317" t="s">
        <v>222</v>
      </c>
      <c r="S317">
        <v>0</v>
      </c>
      <c r="T317">
        <v>0</v>
      </c>
      <c r="U317">
        <v>0</v>
      </c>
      <c r="V317">
        <v>0</v>
      </c>
      <c r="W317">
        <v>0</v>
      </c>
      <c r="X317" s="140">
        <v>1400</v>
      </c>
      <c r="Y317" s="209">
        <f t="shared" si="4"/>
        <v>1400</v>
      </c>
      <c r="Z317">
        <v>0</v>
      </c>
      <c r="AE317"/>
      <c r="AF317"/>
      <c r="AG317" t="s">
        <v>223</v>
      </c>
      <c r="AN317" t="s">
        <v>218</v>
      </c>
      <c r="AO317" t="s">
        <v>224</v>
      </c>
      <c r="AP317" t="s">
        <v>225</v>
      </c>
      <c r="AQ317">
        <v>0.13</v>
      </c>
      <c r="AR317" t="s">
        <v>226</v>
      </c>
    </row>
    <row r="318" hidden="1" spans="1:44">
      <c r="A318" t="s">
        <v>105</v>
      </c>
      <c r="B318" t="s">
        <v>25</v>
      </c>
      <c r="C318" s="209" t="s">
        <v>26</v>
      </c>
      <c r="D318" s="210">
        <v>71020121050337</v>
      </c>
      <c r="E318" s="211">
        <v>44324</v>
      </c>
      <c r="F318" t="s">
        <v>218</v>
      </c>
      <c r="G318" t="s">
        <v>219</v>
      </c>
      <c r="H318">
        <v>3</v>
      </c>
      <c r="I318" t="s">
        <v>151</v>
      </c>
      <c r="J318" t="s">
        <v>220</v>
      </c>
      <c r="K318" t="s">
        <v>221</v>
      </c>
      <c r="L318">
        <v>600</v>
      </c>
      <c r="M318" s="211">
        <v>44367</v>
      </c>
      <c r="N318" s="211">
        <v>44367</v>
      </c>
      <c r="O318" s="212" t="s">
        <v>60</v>
      </c>
      <c r="P318" t="s">
        <v>222</v>
      </c>
      <c r="S318">
        <v>0</v>
      </c>
      <c r="T318">
        <v>0</v>
      </c>
      <c r="U318">
        <v>0</v>
      </c>
      <c r="V318">
        <v>0</v>
      </c>
      <c r="W318">
        <v>0</v>
      </c>
      <c r="X318" s="140">
        <v>600</v>
      </c>
      <c r="Y318" s="209">
        <f t="shared" si="4"/>
        <v>600</v>
      </c>
      <c r="Z318">
        <v>0</v>
      </c>
      <c r="AE318"/>
      <c r="AF318"/>
      <c r="AG318" t="s">
        <v>223</v>
      </c>
      <c r="AN318" t="s">
        <v>218</v>
      </c>
      <c r="AO318" t="s">
        <v>224</v>
      </c>
      <c r="AP318" t="s">
        <v>225</v>
      </c>
      <c r="AQ318">
        <v>0.13</v>
      </c>
      <c r="AR318" t="s">
        <v>226</v>
      </c>
    </row>
    <row r="319" hidden="1" spans="1:44">
      <c r="A319" t="s">
        <v>105</v>
      </c>
      <c r="B319" t="s">
        <v>25</v>
      </c>
      <c r="C319" s="209" t="s">
        <v>26</v>
      </c>
      <c r="D319" s="210">
        <v>71020121050337</v>
      </c>
      <c r="E319" s="211">
        <v>44324</v>
      </c>
      <c r="F319" t="s">
        <v>218</v>
      </c>
      <c r="G319" t="s">
        <v>219</v>
      </c>
      <c r="H319">
        <v>5</v>
      </c>
      <c r="I319" t="s">
        <v>154</v>
      </c>
      <c r="J319" t="s">
        <v>220</v>
      </c>
      <c r="K319" t="s">
        <v>221</v>
      </c>
      <c r="L319">
        <v>600</v>
      </c>
      <c r="M319" s="211">
        <v>44342</v>
      </c>
      <c r="N319" s="211">
        <v>44362</v>
      </c>
      <c r="O319" s="212" t="s">
        <v>60</v>
      </c>
      <c r="P319" t="s">
        <v>222</v>
      </c>
      <c r="S319">
        <v>0</v>
      </c>
      <c r="T319">
        <v>0</v>
      </c>
      <c r="U319">
        <v>0</v>
      </c>
      <c r="V319">
        <v>0</v>
      </c>
      <c r="W319">
        <v>0</v>
      </c>
      <c r="X319" s="140">
        <v>600</v>
      </c>
      <c r="Y319" s="209">
        <f t="shared" si="4"/>
        <v>600</v>
      </c>
      <c r="Z319">
        <v>0</v>
      </c>
      <c r="AE319"/>
      <c r="AF319"/>
      <c r="AG319" t="s">
        <v>223</v>
      </c>
      <c r="AN319" t="s">
        <v>218</v>
      </c>
      <c r="AO319" t="s">
        <v>224</v>
      </c>
      <c r="AP319" t="s">
        <v>225</v>
      </c>
      <c r="AQ319">
        <v>0.13</v>
      </c>
      <c r="AR319" t="s">
        <v>226</v>
      </c>
    </row>
    <row r="320" hidden="1" spans="1:44">
      <c r="A320" t="s">
        <v>105</v>
      </c>
      <c r="B320" t="s">
        <v>25</v>
      </c>
      <c r="C320" s="209" t="s">
        <v>26</v>
      </c>
      <c r="D320" s="210">
        <v>71020121050650</v>
      </c>
      <c r="E320" s="211">
        <v>44329</v>
      </c>
      <c r="F320" t="s">
        <v>218</v>
      </c>
      <c r="G320" t="s">
        <v>219</v>
      </c>
      <c r="H320">
        <v>1</v>
      </c>
      <c r="I320" t="s">
        <v>150</v>
      </c>
      <c r="J320" t="s">
        <v>228</v>
      </c>
      <c r="K320" t="s">
        <v>221</v>
      </c>
      <c r="L320">
        <v>2400</v>
      </c>
      <c r="M320" s="211">
        <v>44348</v>
      </c>
      <c r="N320" s="211">
        <v>44364</v>
      </c>
      <c r="O320" s="212" t="s">
        <v>60</v>
      </c>
      <c r="P320" t="s">
        <v>222</v>
      </c>
      <c r="S320">
        <v>0</v>
      </c>
      <c r="T320">
        <v>0</v>
      </c>
      <c r="U320">
        <v>0</v>
      </c>
      <c r="V320">
        <v>0</v>
      </c>
      <c r="W320">
        <v>0</v>
      </c>
      <c r="X320" s="140">
        <v>2400</v>
      </c>
      <c r="Y320" s="209">
        <f t="shared" si="4"/>
        <v>2400</v>
      </c>
      <c r="Z320">
        <v>0</v>
      </c>
      <c r="AE320"/>
      <c r="AF320"/>
      <c r="AG320" t="s">
        <v>223</v>
      </c>
      <c r="AN320" t="s">
        <v>218</v>
      </c>
      <c r="AO320" t="s">
        <v>224</v>
      </c>
      <c r="AP320" t="s">
        <v>225</v>
      </c>
      <c r="AQ320">
        <v>0.13</v>
      </c>
      <c r="AR320" t="s">
        <v>226</v>
      </c>
    </row>
    <row r="321" hidden="1" spans="1:44">
      <c r="A321" t="s">
        <v>105</v>
      </c>
      <c r="B321" t="s">
        <v>25</v>
      </c>
      <c r="C321" s="209" t="s">
        <v>26</v>
      </c>
      <c r="D321" s="210">
        <v>71020121050873</v>
      </c>
      <c r="E321" s="211">
        <v>44335</v>
      </c>
      <c r="F321" t="s">
        <v>218</v>
      </c>
      <c r="G321" t="s">
        <v>219</v>
      </c>
      <c r="H321">
        <v>1</v>
      </c>
      <c r="I321" t="s">
        <v>150</v>
      </c>
      <c r="J321" t="s">
        <v>228</v>
      </c>
      <c r="K321" t="s">
        <v>221</v>
      </c>
      <c r="L321">
        <v>2500</v>
      </c>
      <c r="M321" s="211">
        <v>44362</v>
      </c>
      <c r="N321" s="211">
        <v>44362</v>
      </c>
      <c r="O321" s="212" t="s">
        <v>60</v>
      </c>
      <c r="P321" t="s">
        <v>222</v>
      </c>
      <c r="S321">
        <v>2232</v>
      </c>
      <c r="T321">
        <v>2232</v>
      </c>
      <c r="U321">
        <v>0</v>
      </c>
      <c r="V321">
        <v>2232</v>
      </c>
      <c r="W321">
        <v>2232</v>
      </c>
      <c r="X321" s="140">
        <v>268</v>
      </c>
      <c r="Y321" s="209">
        <f t="shared" si="4"/>
        <v>268</v>
      </c>
      <c r="Z321">
        <v>0</v>
      </c>
      <c r="AE321">
        <v>44355</v>
      </c>
      <c r="AF321">
        <v>44356</v>
      </c>
      <c r="AG321" t="s">
        <v>223</v>
      </c>
      <c r="AN321" t="s">
        <v>218</v>
      </c>
      <c r="AO321" t="s">
        <v>224</v>
      </c>
      <c r="AP321" t="s">
        <v>225</v>
      </c>
      <c r="AQ321">
        <v>0.13</v>
      </c>
      <c r="AR321" t="s">
        <v>226</v>
      </c>
    </row>
    <row r="322" hidden="1" spans="1:44">
      <c r="A322" t="s">
        <v>105</v>
      </c>
      <c r="B322" t="s">
        <v>25</v>
      </c>
      <c r="C322" s="209" t="s">
        <v>26</v>
      </c>
      <c r="D322" s="210">
        <v>71020121051191</v>
      </c>
      <c r="E322" s="211">
        <v>44342</v>
      </c>
      <c r="F322" t="s">
        <v>218</v>
      </c>
      <c r="G322" t="s">
        <v>219</v>
      </c>
      <c r="H322">
        <v>3</v>
      </c>
      <c r="I322" t="s">
        <v>150</v>
      </c>
      <c r="J322" t="s">
        <v>228</v>
      </c>
      <c r="K322" t="s">
        <v>221</v>
      </c>
      <c r="L322">
        <v>700</v>
      </c>
      <c r="M322" s="211">
        <v>44366</v>
      </c>
      <c r="N322" s="211">
        <v>44366</v>
      </c>
      <c r="O322" s="212" t="s">
        <v>60</v>
      </c>
      <c r="P322" t="s">
        <v>222</v>
      </c>
      <c r="S322">
        <v>0</v>
      </c>
      <c r="T322">
        <v>0</v>
      </c>
      <c r="U322">
        <v>0</v>
      </c>
      <c r="V322">
        <v>0</v>
      </c>
      <c r="W322">
        <v>0</v>
      </c>
      <c r="X322" s="140">
        <v>700</v>
      </c>
      <c r="Y322" s="209">
        <f t="shared" si="4"/>
        <v>700</v>
      </c>
      <c r="Z322">
        <v>0</v>
      </c>
      <c r="AE322"/>
      <c r="AF322"/>
      <c r="AG322" t="s">
        <v>223</v>
      </c>
      <c r="AN322" t="s">
        <v>218</v>
      </c>
      <c r="AO322" t="s">
        <v>224</v>
      </c>
      <c r="AP322" t="s">
        <v>225</v>
      </c>
      <c r="AQ322">
        <v>0.13</v>
      </c>
      <c r="AR322" t="s">
        <v>226</v>
      </c>
    </row>
    <row r="323" hidden="1" spans="1:44">
      <c r="A323" t="s">
        <v>105</v>
      </c>
      <c r="B323" t="s">
        <v>25</v>
      </c>
      <c r="C323" s="209" t="s">
        <v>26</v>
      </c>
      <c r="D323" s="210">
        <v>71020121051191</v>
      </c>
      <c r="E323" s="211">
        <v>44342</v>
      </c>
      <c r="F323" t="s">
        <v>218</v>
      </c>
      <c r="G323" t="s">
        <v>219</v>
      </c>
      <c r="H323">
        <v>4</v>
      </c>
      <c r="I323" t="s">
        <v>151</v>
      </c>
      <c r="J323" t="s">
        <v>220</v>
      </c>
      <c r="K323" t="s">
        <v>221</v>
      </c>
      <c r="L323">
        <v>300</v>
      </c>
      <c r="M323" s="211">
        <v>44370</v>
      </c>
      <c r="N323" s="211">
        <v>44370</v>
      </c>
      <c r="O323" s="212" t="s">
        <v>60</v>
      </c>
      <c r="P323" t="s">
        <v>222</v>
      </c>
      <c r="S323">
        <v>0</v>
      </c>
      <c r="T323">
        <v>0</v>
      </c>
      <c r="U323">
        <v>0</v>
      </c>
      <c r="V323">
        <v>0</v>
      </c>
      <c r="W323">
        <v>0</v>
      </c>
      <c r="X323" s="140">
        <v>300</v>
      </c>
      <c r="Y323" s="209">
        <f t="shared" ref="Y323:Y386" si="5">L323-S323</f>
        <v>300</v>
      </c>
      <c r="Z323">
        <v>0</v>
      </c>
      <c r="AE323"/>
      <c r="AF323"/>
      <c r="AG323" t="s">
        <v>223</v>
      </c>
      <c r="AN323" t="s">
        <v>218</v>
      </c>
      <c r="AO323" t="s">
        <v>224</v>
      </c>
      <c r="AP323" t="s">
        <v>225</v>
      </c>
      <c r="AQ323">
        <v>0.13</v>
      </c>
      <c r="AR323" t="s">
        <v>226</v>
      </c>
    </row>
    <row r="324" hidden="1" spans="1:44">
      <c r="A324" t="s">
        <v>105</v>
      </c>
      <c r="B324" t="s">
        <v>25</v>
      </c>
      <c r="C324" s="209" t="s">
        <v>26</v>
      </c>
      <c r="D324" s="210">
        <v>71020121051191</v>
      </c>
      <c r="E324" s="211">
        <v>44342</v>
      </c>
      <c r="F324" t="s">
        <v>218</v>
      </c>
      <c r="G324" t="s">
        <v>219</v>
      </c>
      <c r="H324">
        <v>6</v>
      </c>
      <c r="I324" t="s">
        <v>151</v>
      </c>
      <c r="J324" t="s">
        <v>220</v>
      </c>
      <c r="K324" t="s">
        <v>221</v>
      </c>
      <c r="L324">
        <v>550</v>
      </c>
      <c r="M324" s="211">
        <v>44381</v>
      </c>
      <c r="N324" s="211">
        <v>44381</v>
      </c>
      <c r="O324" s="212" t="s">
        <v>60</v>
      </c>
      <c r="P324" t="s">
        <v>222</v>
      </c>
      <c r="S324">
        <v>0</v>
      </c>
      <c r="T324">
        <v>0</v>
      </c>
      <c r="U324">
        <v>0</v>
      </c>
      <c r="V324">
        <v>0</v>
      </c>
      <c r="W324">
        <v>0</v>
      </c>
      <c r="X324" s="140">
        <v>550</v>
      </c>
      <c r="Y324" s="209">
        <f t="shared" si="5"/>
        <v>550</v>
      </c>
      <c r="Z324">
        <v>0</v>
      </c>
      <c r="AE324"/>
      <c r="AF324"/>
      <c r="AG324" t="s">
        <v>223</v>
      </c>
      <c r="AN324" t="s">
        <v>218</v>
      </c>
      <c r="AO324" t="s">
        <v>224</v>
      </c>
      <c r="AP324" t="s">
        <v>225</v>
      </c>
      <c r="AQ324">
        <v>0.13</v>
      </c>
      <c r="AR324" t="s">
        <v>226</v>
      </c>
    </row>
    <row r="325" hidden="1" spans="1:44">
      <c r="A325" t="s">
        <v>105</v>
      </c>
      <c r="B325" t="s">
        <v>25</v>
      </c>
      <c r="C325" s="209" t="s">
        <v>26</v>
      </c>
      <c r="D325" s="210">
        <v>71020121051438</v>
      </c>
      <c r="E325" s="211">
        <v>44347</v>
      </c>
      <c r="F325" t="s">
        <v>218</v>
      </c>
      <c r="G325" t="s">
        <v>219</v>
      </c>
      <c r="H325">
        <v>13</v>
      </c>
      <c r="I325" t="s">
        <v>150</v>
      </c>
      <c r="J325" t="s">
        <v>228</v>
      </c>
      <c r="K325" t="s">
        <v>221</v>
      </c>
      <c r="L325">
        <v>6700</v>
      </c>
      <c r="M325" s="211">
        <v>44374</v>
      </c>
      <c r="N325" s="211">
        <v>44374</v>
      </c>
      <c r="O325" s="212" t="s">
        <v>60</v>
      </c>
      <c r="P325" t="s">
        <v>222</v>
      </c>
      <c r="S325">
        <v>0</v>
      </c>
      <c r="T325">
        <v>0</v>
      </c>
      <c r="U325">
        <v>0</v>
      </c>
      <c r="V325">
        <v>0</v>
      </c>
      <c r="W325">
        <v>0</v>
      </c>
      <c r="X325" s="140">
        <v>6700</v>
      </c>
      <c r="Y325" s="209">
        <f t="shared" si="5"/>
        <v>6700</v>
      </c>
      <c r="Z325">
        <v>0</v>
      </c>
      <c r="AE325"/>
      <c r="AF325"/>
      <c r="AG325" t="s">
        <v>223</v>
      </c>
      <c r="AN325" t="s">
        <v>218</v>
      </c>
      <c r="AO325" t="s">
        <v>224</v>
      </c>
      <c r="AP325" t="s">
        <v>225</v>
      </c>
      <c r="AQ325">
        <v>0.13</v>
      </c>
      <c r="AR325" t="s">
        <v>226</v>
      </c>
    </row>
    <row r="326" hidden="1" spans="1:44">
      <c r="A326" t="s">
        <v>105</v>
      </c>
      <c r="B326" t="s">
        <v>25</v>
      </c>
      <c r="C326" s="209" t="s">
        <v>26</v>
      </c>
      <c r="D326" s="210">
        <v>71020121051438</v>
      </c>
      <c r="E326" s="211">
        <v>44347</v>
      </c>
      <c r="F326" t="s">
        <v>218</v>
      </c>
      <c r="G326" t="s">
        <v>219</v>
      </c>
      <c r="H326">
        <v>14</v>
      </c>
      <c r="I326" t="s">
        <v>145</v>
      </c>
      <c r="J326" t="s">
        <v>256</v>
      </c>
      <c r="K326" t="s">
        <v>221</v>
      </c>
      <c r="L326">
        <v>4800</v>
      </c>
      <c r="M326" s="211">
        <v>44392</v>
      </c>
      <c r="N326" s="211">
        <v>44392</v>
      </c>
      <c r="O326" s="212" t="s">
        <v>60</v>
      </c>
      <c r="P326" t="s">
        <v>222</v>
      </c>
      <c r="S326">
        <v>1500</v>
      </c>
      <c r="T326">
        <v>1500</v>
      </c>
      <c r="U326">
        <v>0</v>
      </c>
      <c r="V326">
        <v>1500</v>
      </c>
      <c r="W326">
        <v>0</v>
      </c>
      <c r="X326" s="140">
        <v>3300</v>
      </c>
      <c r="Y326" s="209">
        <f t="shared" si="5"/>
        <v>3300</v>
      </c>
      <c r="Z326">
        <v>0</v>
      </c>
      <c r="AE326">
        <v>44386</v>
      </c>
      <c r="AF326">
        <v>44386</v>
      </c>
      <c r="AG326" t="s">
        <v>223</v>
      </c>
      <c r="AN326" t="s">
        <v>218</v>
      </c>
      <c r="AO326" t="s">
        <v>224</v>
      </c>
      <c r="AP326" t="s">
        <v>225</v>
      </c>
      <c r="AQ326">
        <v>0.13</v>
      </c>
      <c r="AR326" t="s">
        <v>226</v>
      </c>
    </row>
    <row r="327" hidden="1" spans="1:44">
      <c r="A327" t="s">
        <v>105</v>
      </c>
      <c r="B327" t="s">
        <v>25</v>
      </c>
      <c r="C327" s="209" t="s">
        <v>26</v>
      </c>
      <c r="D327" s="210">
        <v>71020121051438</v>
      </c>
      <c r="E327" s="211">
        <v>44347</v>
      </c>
      <c r="F327" t="s">
        <v>218</v>
      </c>
      <c r="G327" t="s">
        <v>219</v>
      </c>
      <c r="H327">
        <v>15</v>
      </c>
      <c r="I327" t="s">
        <v>154</v>
      </c>
      <c r="J327" t="s">
        <v>220</v>
      </c>
      <c r="K327" t="s">
        <v>221</v>
      </c>
      <c r="L327">
        <v>1550</v>
      </c>
      <c r="M327" s="211">
        <v>44378</v>
      </c>
      <c r="N327" s="211">
        <v>44378</v>
      </c>
      <c r="O327" s="212" t="s">
        <v>60</v>
      </c>
      <c r="P327" t="s">
        <v>222</v>
      </c>
      <c r="S327">
        <v>0</v>
      </c>
      <c r="T327">
        <v>0</v>
      </c>
      <c r="U327">
        <v>0</v>
      </c>
      <c r="V327">
        <v>0</v>
      </c>
      <c r="W327">
        <v>0</v>
      </c>
      <c r="X327" s="140">
        <v>1550</v>
      </c>
      <c r="Y327" s="209">
        <f t="shared" si="5"/>
        <v>1550</v>
      </c>
      <c r="Z327">
        <v>0</v>
      </c>
      <c r="AE327"/>
      <c r="AF327"/>
      <c r="AG327" t="s">
        <v>223</v>
      </c>
      <c r="AN327" t="s">
        <v>218</v>
      </c>
      <c r="AO327" t="s">
        <v>224</v>
      </c>
      <c r="AP327" t="s">
        <v>225</v>
      </c>
      <c r="AQ327">
        <v>0.13</v>
      </c>
      <c r="AR327" t="s">
        <v>226</v>
      </c>
    </row>
    <row r="328" hidden="1" spans="1:44">
      <c r="A328" t="s">
        <v>105</v>
      </c>
      <c r="B328" t="s">
        <v>25</v>
      </c>
      <c r="C328" s="209" t="s">
        <v>26</v>
      </c>
      <c r="D328" s="210">
        <v>71020121051438</v>
      </c>
      <c r="E328" s="211">
        <v>44347</v>
      </c>
      <c r="F328" t="s">
        <v>218</v>
      </c>
      <c r="G328" t="s">
        <v>219</v>
      </c>
      <c r="H328">
        <v>16</v>
      </c>
      <c r="I328" t="s">
        <v>155</v>
      </c>
      <c r="J328" t="s">
        <v>220</v>
      </c>
      <c r="K328" t="s">
        <v>221</v>
      </c>
      <c r="L328">
        <v>5200</v>
      </c>
      <c r="M328" s="211">
        <v>44378</v>
      </c>
      <c r="N328" s="211">
        <v>44378</v>
      </c>
      <c r="O328" s="212" t="s">
        <v>60</v>
      </c>
      <c r="P328" t="s">
        <v>222</v>
      </c>
      <c r="S328">
        <v>0</v>
      </c>
      <c r="T328">
        <v>0</v>
      </c>
      <c r="U328">
        <v>0</v>
      </c>
      <c r="V328">
        <v>0</v>
      </c>
      <c r="W328">
        <v>0</v>
      </c>
      <c r="X328" s="140">
        <v>5200</v>
      </c>
      <c r="Y328" s="209">
        <f t="shared" si="5"/>
        <v>5200</v>
      </c>
      <c r="Z328">
        <v>0</v>
      </c>
      <c r="AE328"/>
      <c r="AF328"/>
      <c r="AG328" t="s">
        <v>223</v>
      </c>
      <c r="AN328" t="s">
        <v>218</v>
      </c>
      <c r="AO328" t="s">
        <v>224</v>
      </c>
      <c r="AP328" t="s">
        <v>225</v>
      </c>
      <c r="AQ328">
        <v>0.13</v>
      </c>
      <c r="AR328" t="s">
        <v>226</v>
      </c>
    </row>
    <row r="329" hidden="1" spans="1:44">
      <c r="A329" t="s">
        <v>105</v>
      </c>
      <c r="B329" t="s">
        <v>25</v>
      </c>
      <c r="C329" s="209" t="s">
        <v>26</v>
      </c>
      <c r="D329" s="210">
        <v>71020121051438</v>
      </c>
      <c r="E329" s="211">
        <v>44347</v>
      </c>
      <c r="F329" t="s">
        <v>218</v>
      </c>
      <c r="G329" t="s">
        <v>219</v>
      </c>
      <c r="H329">
        <v>17</v>
      </c>
      <c r="I329" t="s">
        <v>151</v>
      </c>
      <c r="J329" t="s">
        <v>220</v>
      </c>
      <c r="K329" t="s">
        <v>221</v>
      </c>
      <c r="L329">
        <v>600</v>
      </c>
      <c r="M329" s="211">
        <v>44400</v>
      </c>
      <c r="N329" s="211">
        <v>44400</v>
      </c>
      <c r="O329" s="212" t="s">
        <v>60</v>
      </c>
      <c r="P329" t="s">
        <v>222</v>
      </c>
      <c r="S329">
        <v>0</v>
      </c>
      <c r="T329">
        <v>0</v>
      </c>
      <c r="U329">
        <v>0</v>
      </c>
      <c r="V329">
        <v>0</v>
      </c>
      <c r="W329">
        <v>0</v>
      </c>
      <c r="X329" s="140">
        <v>600</v>
      </c>
      <c r="Y329" s="209">
        <f t="shared" si="5"/>
        <v>600</v>
      </c>
      <c r="Z329">
        <v>0</v>
      </c>
      <c r="AE329"/>
      <c r="AF329"/>
      <c r="AG329" t="s">
        <v>223</v>
      </c>
      <c r="AN329" t="s">
        <v>218</v>
      </c>
      <c r="AO329" t="s">
        <v>224</v>
      </c>
      <c r="AP329" t="s">
        <v>225</v>
      </c>
      <c r="AQ329">
        <v>0.13</v>
      </c>
      <c r="AR329" t="s">
        <v>226</v>
      </c>
    </row>
    <row r="330" hidden="1" spans="1:44">
      <c r="A330" t="s">
        <v>105</v>
      </c>
      <c r="B330" t="s">
        <v>25</v>
      </c>
      <c r="C330" s="209" t="s">
        <v>26</v>
      </c>
      <c r="D330" s="210">
        <v>71020121051438</v>
      </c>
      <c r="E330" s="211">
        <v>44347</v>
      </c>
      <c r="F330" t="s">
        <v>218</v>
      </c>
      <c r="G330" t="s">
        <v>219</v>
      </c>
      <c r="H330">
        <v>21</v>
      </c>
      <c r="I330" t="s">
        <v>158</v>
      </c>
      <c r="J330" t="s">
        <v>257</v>
      </c>
      <c r="K330" t="s">
        <v>221</v>
      </c>
      <c r="L330">
        <v>10000</v>
      </c>
      <c r="M330" s="211">
        <v>44368</v>
      </c>
      <c r="N330" s="211">
        <v>44368</v>
      </c>
      <c r="O330" s="212" t="s">
        <v>60</v>
      </c>
      <c r="P330" t="s">
        <v>222</v>
      </c>
      <c r="S330">
        <v>2980</v>
      </c>
      <c r="T330">
        <v>2980</v>
      </c>
      <c r="U330">
        <v>0</v>
      </c>
      <c r="V330">
        <v>2980</v>
      </c>
      <c r="W330">
        <v>0</v>
      </c>
      <c r="X330" s="140">
        <v>7020</v>
      </c>
      <c r="Y330" s="209">
        <f t="shared" si="5"/>
        <v>7020</v>
      </c>
      <c r="Z330">
        <v>0</v>
      </c>
      <c r="AE330">
        <v>44385</v>
      </c>
      <c r="AF330">
        <v>44385</v>
      </c>
      <c r="AG330" t="s">
        <v>223</v>
      </c>
      <c r="AN330" t="s">
        <v>218</v>
      </c>
      <c r="AO330" t="s">
        <v>224</v>
      </c>
      <c r="AP330" t="s">
        <v>225</v>
      </c>
      <c r="AQ330">
        <v>0.13</v>
      </c>
      <c r="AR330" t="s">
        <v>226</v>
      </c>
    </row>
    <row r="331" hidden="1" spans="1:44">
      <c r="A331" t="s">
        <v>105</v>
      </c>
      <c r="B331" t="s">
        <v>25</v>
      </c>
      <c r="C331" s="209" t="s">
        <v>26</v>
      </c>
      <c r="D331" s="210">
        <v>71020121060110</v>
      </c>
      <c r="E331" s="211">
        <v>44349</v>
      </c>
      <c r="F331" t="s">
        <v>218</v>
      </c>
      <c r="G331" t="s">
        <v>219</v>
      </c>
      <c r="H331">
        <v>2</v>
      </c>
      <c r="I331" t="s">
        <v>158</v>
      </c>
      <c r="J331" t="s">
        <v>257</v>
      </c>
      <c r="K331" t="s">
        <v>221</v>
      </c>
      <c r="L331">
        <v>10000</v>
      </c>
      <c r="M331" s="211">
        <v>44407</v>
      </c>
      <c r="N331" s="211">
        <v>44407</v>
      </c>
      <c r="O331" s="212" t="s">
        <v>60</v>
      </c>
      <c r="P331" t="s">
        <v>222</v>
      </c>
      <c r="S331">
        <v>0</v>
      </c>
      <c r="T331">
        <v>0</v>
      </c>
      <c r="U331">
        <v>0</v>
      </c>
      <c r="V331">
        <v>0</v>
      </c>
      <c r="W331">
        <v>0</v>
      </c>
      <c r="X331" s="140">
        <v>10000</v>
      </c>
      <c r="Y331" s="209">
        <f t="shared" si="5"/>
        <v>10000</v>
      </c>
      <c r="Z331">
        <v>0</v>
      </c>
      <c r="AE331"/>
      <c r="AF331"/>
      <c r="AG331" t="s">
        <v>223</v>
      </c>
      <c r="AN331" t="s">
        <v>218</v>
      </c>
      <c r="AO331" t="s">
        <v>224</v>
      </c>
      <c r="AP331" t="s">
        <v>225</v>
      </c>
      <c r="AQ331">
        <v>0.13</v>
      </c>
      <c r="AR331" t="s">
        <v>226</v>
      </c>
    </row>
    <row r="332" hidden="1" spans="1:44">
      <c r="A332" t="s">
        <v>105</v>
      </c>
      <c r="B332" t="s">
        <v>25</v>
      </c>
      <c r="C332" s="209" t="s">
        <v>26</v>
      </c>
      <c r="D332" s="210">
        <v>71020121060110</v>
      </c>
      <c r="E332" s="211">
        <v>44349</v>
      </c>
      <c r="F332" t="s">
        <v>218</v>
      </c>
      <c r="G332" t="s">
        <v>219</v>
      </c>
      <c r="H332">
        <v>9</v>
      </c>
      <c r="I332" t="s">
        <v>158</v>
      </c>
      <c r="J332" t="s">
        <v>257</v>
      </c>
      <c r="K332" t="s">
        <v>221</v>
      </c>
      <c r="L332">
        <v>10000</v>
      </c>
      <c r="M332" s="211">
        <v>44411</v>
      </c>
      <c r="N332" s="211">
        <v>44411</v>
      </c>
      <c r="O332" s="212" t="s">
        <v>227</v>
      </c>
      <c r="P332" t="s">
        <v>222</v>
      </c>
      <c r="S332">
        <v>0</v>
      </c>
      <c r="T332">
        <v>0</v>
      </c>
      <c r="U332">
        <v>0</v>
      </c>
      <c r="V332">
        <v>0</v>
      </c>
      <c r="W332">
        <v>0</v>
      </c>
      <c r="X332" s="140">
        <v>10000</v>
      </c>
      <c r="Y332" s="209">
        <f t="shared" si="5"/>
        <v>10000</v>
      </c>
      <c r="Z332">
        <v>0</v>
      </c>
      <c r="AE332"/>
      <c r="AF332"/>
      <c r="AG332" t="s">
        <v>223</v>
      </c>
      <c r="AN332" t="s">
        <v>218</v>
      </c>
      <c r="AO332" t="s">
        <v>224</v>
      </c>
      <c r="AP332" t="s">
        <v>225</v>
      </c>
      <c r="AQ332">
        <v>0.13</v>
      </c>
      <c r="AR332" t="s">
        <v>226</v>
      </c>
    </row>
    <row r="333" hidden="1" spans="1:44">
      <c r="A333" t="s">
        <v>105</v>
      </c>
      <c r="B333" t="s">
        <v>25</v>
      </c>
      <c r="C333" s="209" t="s">
        <v>26</v>
      </c>
      <c r="D333" s="210">
        <v>71020121060110</v>
      </c>
      <c r="E333" s="211">
        <v>44349</v>
      </c>
      <c r="F333" t="s">
        <v>218</v>
      </c>
      <c r="G333" t="s">
        <v>219</v>
      </c>
      <c r="H333">
        <v>10</v>
      </c>
      <c r="I333" t="s">
        <v>158</v>
      </c>
      <c r="J333" t="s">
        <v>257</v>
      </c>
      <c r="K333" t="s">
        <v>221</v>
      </c>
      <c r="L333">
        <v>10000</v>
      </c>
      <c r="M333" s="211">
        <v>44409</v>
      </c>
      <c r="N333" s="211">
        <v>44409</v>
      </c>
      <c r="O333" s="212" t="s">
        <v>227</v>
      </c>
      <c r="P333" t="s">
        <v>222</v>
      </c>
      <c r="S333">
        <v>0</v>
      </c>
      <c r="T333">
        <v>0</v>
      </c>
      <c r="U333">
        <v>0</v>
      </c>
      <c r="V333">
        <v>0</v>
      </c>
      <c r="W333">
        <v>0</v>
      </c>
      <c r="X333" s="140">
        <v>10000</v>
      </c>
      <c r="Y333" s="209">
        <f t="shared" si="5"/>
        <v>10000</v>
      </c>
      <c r="Z333">
        <v>0</v>
      </c>
      <c r="AE333"/>
      <c r="AF333"/>
      <c r="AG333" t="s">
        <v>223</v>
      </c>
      <c r="AN333" t="s">
        <v>218</v>
      </c>
      <c r="AO333" t="s">
        <v>224</v>
      </c>
      <c r="AP333" t="s">
        <v>225</v>
      </c>
      <c r="AQ333">
        <v>0.13</v>
      </c>
      <c r="AR333" t="s">
        <v>226</v>
      </c>
    </row>
    <row r="334" hidden="1" spans="1:44">
      <c r="A334" t="s">
        <v>105</v>
      </c>
      <c r="B334" t="s">
        <v>25</v>
      </c>
      <c r="C334" s="209" t="s">
        <v>26</v>
      </c>
      <c r="D334" s="210">
        <v>71020121060138</v>
      </c>
      <c r="E334" s="211">
        <v>44350</v>
      </c>
      <c r="F334" t="s">
        <v>218</v>
      </c>
      <c r="G334" t="s">
        <v>219</v>
      </c>
      <c r="H334">
        <v>1</v>
      </c>
      <c r="I334" t="s">
        <v>143</v>
      </c>
      <c r="J334" t="s">
        <v>258</v>
      </c>
      <c r="K334" t="s">
        <v>221</v>
      </c>
      <c r="L334">
        <v>10000</v>
      </c>
      <c r="M334" s="211">
        <v>44366</v>
      </c>
      <c r="N334" s="211">
        <v>44366</v>
      </c>
      <c r="O334" s="212" t="s">
        <v>60</v>
      </c>
      <c r="P334" t="s">
        <v>222</v>
      </c>
      <c r="S334">
        <v>0</v>
      </c>
      <c r="T334">
        <v>0</v>
      </c>
      <c r="U334">
        <v>0</v>
      </c>
      <c r="V334">
        <v>0</v>
      </c>
      <c r="W334">
        <v>0</v>
      </c>
      <c r="X334" s="140">
        <v>10000</v>
      </c>
      <c r="Y334" s="209">
        <f t="shared" si="5"/>
        <v>10000</v>
      </c>
      <c r="Z334">
        <v>0</v>
      </c>
      <c r="AE334"/>
      <c r="AF334"/>
      <c r="AG334" t="s">
        <v>223</v>
      </c>
      <c r="AN334" t="s">
        <v>218</v>
      </c>
      <c r="AO334" t="s">
        <v>224</v>
      </c>
      <c r="AP334" t="s">
        <v>225</v>
      </c>
      <c r="AQ334">
        <v>0.13</v>
      </c>
      <c r="AR334" t="s">
        <v>226</v>
      </c>
    </row>
    <row r="335" hidden="1" spans="1:44">
      <c r="A335" t="s">
        <v>105</v>
      </c>
      <c r="B335" t="s">
        <v>25</v>
      </c>
      <c r="C335" s="209" t="s">
        <v>26</v>
      </c>
      <c r="D335" s="210">
        <v>71020121060138</v>
      </c>
      <c r="E335" s="211">
        <v>44350</v>
      </c>
      <c r="F335" t="s">
        <v>218</v>
      </c>
      <c r="G335" t="s">
        <v>219</v>
      </c>
      <c r="H335">
        <v>2</v>
      </c>
      <c r="I335" t="s">
        <v>143</v>
      </c>
      <c r="J335" t="s">
        <v>258</v>
      </c>
      <c r="K335" t="s">
        <v>221</v>
      </c>
      <c r="L335">
        <v>11000</v>
      </c>
      <c r="M335" s="211">
        <v>44367</v>
      </c>
      <c r="N335" s="211">
        <v>44367</v>
      </c>
      <c r="O335" s="212" t="s">
        <v>60</v>
      </c>
      <c r="P335" t="s">
        <v>222</v>
      </c>
      <c r="S335">
        <v>0</v>
      </c>
      <c r="T335">
        <v>0</v>
      </c>
      <c r="U335">
        <v>0</v>
      </c>
      <c r="V335">
        <v>0</v>
      </c>
      <c r="W335">
        <v>0</v>
      </c>
      <c r="X335" s="140">
        <v>11000</v>
      </c>
      <c r="Y335" s="209">
        <f t="shared" si="5"/>
        <v>11000</v>
      </c>
      <c r="Z335">
        <v>0</v>
      </c>
      <c r="AE335"/>
      <c r="AF335"/>
      <c r="AG335" t="s">
        <v>223</v>
      </c>
      <c r="AN335" t="s">
        <v>218</v>
      </c>
      <c r="AO335" t="s">
        <v>224</v>
      </c>
      <c r="AP335" t="s">
        <v>225</v>
      </c>
      <c r="AQ335">
        <v>0.13</v>
      </c>
      <c r="AR335" t="s">
        <v>226</v>
      </c>
    </row>
    <row r="336" hidden="1" spans="1:44">
      <c r="A336" t="s">
        <v>105</v>
      </c>
      <c r="B336" t="s">
        <v>25</v>
      </c>
      <c r="C336" s="209" t="s">
        <v>26</v>
      </c>
      <c r="D336" s="210">
        <v>71020121060138</v>
      </c>
      <c r="E336" s="211">
        <v>44350</v>
      </c>
      <c r="F336" t="s">
        <v>218</v>
      </c>
      <c r="G336" t="s">
        <v>219</v>
      </c>
      <c r="H336">
        <v>3</v>
      </c>
      <c r="I336" t="s">
        <v>143</v>
      </c>
      <c r="J336" t="s">
        <v>258</v>
      </c>
      <c r="K336" t="s">
        <v>221</v>
      </c>
      <c r="L336">
        <v>10000</v>
      </c>
      <c r="M336" s="211">
        <v>44359</v>
      </c>
      <c r="N336" s="211">
        <v>44359</v>
      </c>
      <c r="O336" s="212" t="s">
        <v>60</v>
      </c>
      <c r="P336" t="s">
        <v>222</v>
      </c>
      <c r="S336">
        <v>0</v>
      </c>
      <c r="T336">
        <v>0</v>
      </c>
      <c r="U336">
        <v>0</v>
      </c>
      <c r="V336">
        <v>0</v>
      </c>
      <c r="W336">
        <v>0</v>
      </c>
      <c r="X336" s="140">
        <v>10000</v>
      </c>
      <c r="Y336" s="209">
        <f t="shared" si="5"/>
        <v>10000</v>
      </c>
      <c r="Z336">
        <v>0</v>
      </c>
      <c r="AE336"/>
      <c r="AF336"/>
      <c r="AG336" t="s">
        <v>223</v>
      </c>
      <c r="AN336" t="s">
        <v>218</v>
      </c>
      <c r="AO336" t="s">
        <v>224</v>
      </c>
      <c r="AP336" t="s">
        <v>225</v>
      </c>
      <c r="AQ336">
        <v>0.13</v>
      </c>
      <c r="AR336" t="s">
        <v>226</v>
      </c>
    </row>
    <row r="337" hidden="1" spans="1:44">
      <c r="A337" t="s">
        <v>105</v>
      </c>
      <c r="B337" t="s">
        <v>25</v>
      </c>
      <c r="C337" s="209" t="s">
        <v>26</v>
      </c>
      <c r="D337" s="210">
        <v>71020121060138</v>
      </c>
      <c r="E337" s="211">
        <v>44350</v>
      </c>
      <c r="F337" t="s">
        <v>218</v>
      </c>
      <c r="G337" t="s">
        <v>219</v>
      </c>
      <c r="H337">
        <v>4</v>
      </c>
      <c r="I337" t="s">
        <v>143</v>
      </c>
      <c r="J337" t="s">
        <v>258</v>
      </c>
      <c r="K337" t="s">
        <v>221</v>
      </c>
      <c r="L337">
        <v>10000</v>
      </c>
      <c r="M337" s="211">
        <v>44358</v>
      </c>
      <c r="N337" s="211">
        <v>44358</v>
      </c>
      <c r="O337" s="212" t="s">
        <v>60</v>
      </c>
      <c r="P337" t="s">
        <v>222</v>
      </c>
      <c r="S337">
        <v>0</v>
      </c>
      <c r="T337">
        <v>0</v>
      </c>
      <c r="U337">
        <v>0</v>
      </c>
      <c r="V337">
        <v>0</v>
      </c>
      <c r="W337">
        <v>0</v>
      </c>
      <c r="X337" s="140">
        <v>10000</v>
      </c>
      <c r="Y337" s="209">
        <f t="shared" si="5"/>
        <v>10000</v>
      </c>
      <c r="Z337">
        <v>0</v>
      </c>
      <c r="AE337"/>
      <c r="AF337"/>
      <c r="AG337" t="s">
        <v>223</v>
      </c>
      <c r="AN337" t="s">
        <v>218</v>
      </c>
      <c r="AO337" t="s">
        <v>224</v>
      </c>
      <c r="AP337" t="s">
        <v>225</v>
      </c>
      <c r="AQ337">
        <v>0.13</v>
      </c>
      <c r="AR337" t="s">
        <v>226</v>
      </c>
    </row>
    <row r="338" hidden="1" spans="1:44">
      <c r="A338" t="s">
        <v>105</v>
      </c>
      <c r="B338" t="s">
        <v>25</v>
      </c>
      <c r="C338" s="209" t="s">
        <v>26</v>
      </c>
      <c r="D338" s="210">
        <v>71020121060138</v>
      </c>
      <c r="E338" s="211">
        <v>44350</v>
      </c>
      <c r="F338" t="s">
        <v>218</v>
      </c>
      <c r="G338" t="s">
        <v>219</v>
      </c>
      <c r="H338">
        <v>5</v>
      </c>
      <c r="I338" t="s">
        <v>143</v>
      </c>
      <c r="J338" t="s">
        <v>258</v>
      </c>
      <c r="K338" t="s">
        <v>221</v>
      </c>
      <c r="L338">
        <v>10000</v>
      </c>
      <c r="M338" s="211">
        <v>44357</v>
      </c>
      <c r="N338" s="211">
        <v>44357</v>
      </c>
      <c r="O338" s="212" t="s">
        <v>60</v>
      </c>
      <c r="P338" t="s">
        <v>222</v>
      </c>
      <c r="S338">
        <v>0</v>
      </c>
      <c r="T338">
        <v>0</v>
      </c>
      <c r="U338">
        <v>0</v>
      </c>
      <c r="V338">
        <v>0</v>
      </c>
      <c r="W338">
        <v>0</v>
      </c>
      <c r="X338" s="140">
        <v>10000</v>
      </c>
      <c r="Y338" s="209">
        <f t="shared" si="5"/>
        <v>10000</v>
      </c>
      <c r="Z338">
        <v>0</v>
      </c>
      <c r="AE338"/>
      <c r="AF338"/>
      <c r="AG338" t="s">
        <v>223</v>
      </c>
      <c r="AN338" t="s">
        <v>218</v>
      </c>
      <c r="AO338" t="s">
        <v>224</v>
      </c>
      <c r="AP338" t="s">
        <v>225</v>
      </c>
      <c r="AQ338">
        <v>0.13</v>
      </c>
      <c r="AR338" t="s">
        <v>226</v>
      </c>
    </row>
    <row r="339" hidden="1" spans="1:44">
      <c r="A339" t="s">
        <v>105</v>
      </c>
      <c r="B339" t="s">
        <v>25</v>
      </c>
      <c r="C339" s="209" t="s">
        <v>26</v>
      </c>
      <c r="D339" s="210">
        <v>71020121060138</v>
      </c>
      <c r="E339" s="211">
        <v>44350</v>
      </c>
      <c r="F339" t="s">
        <v>218</v>
      </c>
      <c r="G339" t="s">
        <v>219</v>
      </c>
      <c r="H339">
        <v>6</v>
      </c>
      <c r="I339" t="s">
        <v>142</v>
      </c>
      <c r="J339" t="s">
        <v>258</v>
      </c>
      <c r="K339" t="s">
        <v>221</v>
      </c>
      <c r="L339">
        <v>2200</v>
      </c>
      <c r="M339" s="211">
        <v>44375</v>
      </c>
      <c r="N339" s="211">
        <v>44375</v>
      </c>
      <c r="O339" s="212" t="s">
        <v>60</v>
      </c>
      <c r="P339" t="s">
        <v>222</v>
      </c>
      <c r="S339">
        <v>0</v>
      </c>
      <c r="T339">
        <v>0</v>
      </c>
      <c r="U339">
        <v>0</v>
      </c>
      <c r="V339">
        <v>0</v>
      </c>
      <c r="W339">
        <v>0</v>
      </c>
      <c r="X339" s="140">
        <v>2200</v>
      </c>
      <c r="Y339" s="209">
        <f t="shared" si="5"/>
        <v>2200</v>
      </c>
      <c r="Z339">
        <v>0</v>
      </c>
      <c r="AE339"/>
      <c r="AF339"/>
      <c r="AG339" t="s">
        <v>223</v>
      </c>
      <c r="AN339" t="s">
        <v>218</v>
      </c>
      <c r="AO339" t="s">
        <v>224</v>
      </c>
      <c r="AP339" t="s">
        <v>225</v>
      </c>
      <c r="AQ339">
        <v>0.13</v>
      </c>
      <c r="AR339" t="s">
        <v>226</v>
      </c>
    </row>
    <row r="340" hidden="1" spans="1:44">
      <c r="A340" t="s">
        <v>105</v>
      </c>
      <c r="B340" t="s">
        <v>25</v>
      </c>
      <c r="C340" s="209" t="s">
        <v>26</v>
      </c>
      <c r="D340" s="210">
        <v>71020121060138</v>
      </c>
      <c r="E340" s="211">
        <v>44350</v>
      </c>
      <c r="F340" t="s">
        <v>218</v>
      </c>
      <c r="G340" t="s">
        <v>219</v>
      </c>
      <c r="H340">
        <v>7</v>
      </c>
      <c r="I340" t="s">
        <v>153</v>
      </c>
      <c r="J340" t="s">
        <v>220</v>
      </c>
      <c r="K340" t="s">
        <v>221</v>
      </c>
      <c r="L340">
        <v>5000</v>
      </c>
      <c r="M340" s="211">
        <v>44362</v>
      </c>
      <c r="N340" s="211">
        <v>44362</v>
      </c>
      <c r="O340" s="212" t="s">
        <v>60</v>
      </c>
      <c r="P340" t="s">
        <v>222</v>
      </c>
      <c r="S340">
        <v>940</v>
      </c>
      <c r="T340">
        <v>940</v>
      </c>
      <c r="U340">
        <v>0</v>
      </c>
      <c r="V340">
        <v>940</v>
      </c>
      <c r="W340">
        <v>0</v>
      </c>
      <c r="X340" s="140">
        <v>4060</v>
      </c>
      <c r="Y340" s="209">
        <f t="shared" si="5"/>
        <v>4060</v>
      </c>
      <c r="Z340">
        <v>0</v>
      </c>
      <c r="AE340">
        <v>44385</v>
      </c>
      <c r="AF340">
        <v>44385</v>
      </c>
      <c r="AG340" t="s">
        <v>223</v>
      </c>
      <c r="AN340" t="s">
        <v>218</v>
      </c>
      <c r="AO340" t="s">
        <v>224</v>
      </c>
      <c r="AP340" t="s">
        <v>225</v>
      </c>
      <c r="AQ340">
        <v>0.13</v>
      </c>
      <c r="AR340" t="s">
        <v>226</v>
      </c>
    </row>
    <row r="341" hidden="1" spans="1:44">
      <c r="A341" t="s">
        <v>105</v>
      </c>
      <c r="B341" t="s">
        <v>25</v>
      </c>
      <c r="C341" s="209" t="s">
        <v>26</v>
      </c>
      <c r="D341" s="210">
        <v>71020121060138</v>
      </c>
      <c r="E341" s="211">
        <v>44350</v>
      </c>
      <c r="F341" t="s">
        <v>218</v>
      </c>
      <c r="G341" t="s">
        <v>219</v>
      </c>
      <c r="H341">
        <v>8</v>
      </c>
      <c r="I341" t="s">
        <v>153</v>
      </c>
      <c r="J341" t="s">
        <v>220</v>
      </c>
      <c r="K341" t="s">
        <v>221</v>
      </c>
      <c r="L341">
        <v>4000</v>
      </c>
      <c r="M341" s="211">
        <v>44357</v>
      </c>
      <c r="N341" s="211">
        <v>44357</v>
      </c>
      <c r="O341" s="212" t="s">
        <v>60</v>
      </c>
      <c r="P341" t="s">
        <v>222</v>
      </c>
      <c r="S341">
        <v>1480</v>
      </c>
      <c r="T341">
        <v>1480</v>
      </c>
      <c r="U341">
        <v>0</v>
      </c>
      <c r="V341">
        <v>1480</v>
      </c>
      <c r="W341">
        <v>0</v>
      </c>
      <c r="X341" s="140">
        <v>2520</v>
      </c>
      <c r="Y341" s="209">
        <f t="shared" si="5"/>
        <v>2520</v>
      </c>
      <c r="Z341">
        <v>0</v>
      </c>
      <c r="AE341">
        <v>44385</v>
      </c>
      <c r="AF341">
        <v>44385</v>
      </c>
      <c r="AG341" t="s">
        <v>223</v>
      </c>
      <c r="AN341" t="s">
        <v>218</v>
      </c>
      <c r="AO341" t="s">
        <v>224</v>
      </c>
      <c r="AP341" t="s">
        <v>225</v>
      </c>
      <c r="AQ341">
        <v>0.13</v>
      </c>
      <c r="AR341" t="s">
        <v>226</v>
      </c>
    </row>
    <row r="342" hidden="1" spans="1:44">
      <c r="A342" t="s">
        <v>105</v>
      </c>
      <c r="B342" t="s">
        <v>25</v>
      </c>
      <c r="C342" s="209" t="s">
        <v>26</v>
      </c>
      <c r="D342" s="210">
        <v>71020121060299</v>
      </c>
      <c r="E342" s="211">
        <v>44354</v>
      </c>
      <c r="F342" t="s">
        <v>218</v>
      </c>
      <c r="G342" t="s">
        <v>219</v>
      </c>
      <c r="H342">
        <v>1</v>
      </c>
      <c r="I342" t="s">
        <v>151</v>
      </c>
      <c r="J342" t="s">
        <v>220</v>
      </c>
      <c r="K342" t="s">
        <v>221</v>
      </c>
      <c r="L342">
        <v>550</v>
      </c>
      <c r="M342" s="211">
        <v>44399</v>
      </c>
      <c r="N342" s="211">
        <v>44399</v>
      </c>
      <c r="O342" s="212" t="s">
        <v>60</v>
      </c>
      <c r="P342" t="s">
        <v>222</v>
      </c>
      <c r="S342">
        <v>0</v>
      </c>
      <c r="T342">
        <v>0</v>
      </c>
      <c r="U342">
        <v>0</v>
      </c>
      <c r="V342">
        <v>0</v>
      </c>
      <c r="W342">
        <v>0</v>
      </c>
      <c r="X342" s="140">
        <v>550</v>
      </c>
      <c r="Y342" s="209">
        <f t="shared" si="5"/>
        <v>550</v>
      </c>
      <c r="Z342">
        <v>0</v>
      </c>
      <c r="AE342"/>
      <c r="AF342"/>
      <c r="AG342" t="s">
        <v>223</v>
      </c>
      <c r="AN342" t="s">
        <v>218</v>
      </c>
      <c r="AO342" t="s">
        <v>224</v>
      </c>
      <c r="AP342" t="s">
        <v>225</v>
      </c>
      <c r="AQ342">
        <v>0.13</v>
      </c>
      <c r="AR342" t="s">
        <v>226</v>
      </c>
    </row>
    <row r="343" hidden="1" spans="1:44">
      <c r="A343" t="s">
        <v>105</v>
      </c>
      <c r="B343" t="s">
        <v>25</v>
      </c>
      <c r="C343" s="209" t="s">
        <v>26</v>
      </c>
      <c r="D343" s="210">
        <v>71020121060299</v>
      </c>
      <c r="E343" s="211">
        <v>44354</v>
      </c>
      <c r="F343" t="s">
        <v>218</v>
      </c>
      <c r="G343" t="s">
        <v>219</v>
      </c>
      <c r="H343">
        <v>2</v>
      </c>
      <c r="I343" t="s">
        <v>158</v>
      </c>
      <c r="J343" t="s">
        <v>257</v>
      </c>
      <c r="K343" t="s">
        <v>221</v>
      </c>
      <c r="L343">
        <v>5000</v>
      </c>
      <c r="M343" s="211">
        <v>44379</v>
      </c>
      <c r="N343" s="211">
        <v>44379</v>
      </c>
      <c r="O343" s="212" t="s">
        <v>60</v>
      </c>
      <c r="P343" t="s">
        <v>222</v>
      </c>
      <c r="S343">
        <v>0</v>
      </c>
      <c r="T343">
        <v>0</v>
      </c>
      <c r="U343">
        <v>0</v>
      </c>
      <c r="V343">
        <v>0</v>
      </c>
      <c r="W343">
        <v>0</v>
      </c>
      <c r="X343" s="140">
        <v>5000</v>
      </c>
      <c r="Y343" s="209">
        <f t="shared" si="5"/>
        <v>5000</v>
      </c>
      <c r="Z343">
        <v>0</v>
      </c>
      <c r="AE343"/>
      <c r="AF343"/>
      <c r="AG343" t="s">
        <v>223</v>
      </c>
      <c r="AN343" t="s">
        <v>218</v>
      </c>
      <c r="AO343" t="s">
        <v>224</v>
      </c>
      <c r="AP343" t="s">
        <v>225</v>
      </c>
      <c r="AQ343">
        <v>0.13</v>
      </c>
      <c r="AR343" t="s">
        <v>226</v>
      </c>
    </row>
    <row r="344" hidden="1" spans="1:44">
      <c r="A344" t="s">
        <v>105</v>
      </c>
      <c r="B344" t="s">
        <v>25</v>
      </c>
      <c r="C344" s="209" t="s">
        <v>26</v>
      </c>
      <c r="D344" s="210">
        <v>71020121060299</v>
      </c>
      <c r="E344" s="211">
        <v>44354</v>
      </c>
      <c r="F344" t="s">
        <v>218</v>
      </c>
      <c r="G344" t="s">
        <v>219</v>
      </c>
      <c r="H344">
        <v>3</v>
      </c>
      <c r="I344" t="s">
        <v>158</v>
      </c>
      <c r="J344" t="s">
        <v>257</v>
      </c>
      <c r="K344" t="s">
        <v>221</v>
      </c>
      <c r="L344">
        <v>10000</v>
      </c>
      <c r="M344" s="211">
        <v>44378</v>
      </c>
      <c r="N344" s="211">
        <v>44378</v>
      </c>
      <c r="O344" s="212" t="s">
        <v>60</v>
      </c>
      <c r="P344" t="s">
        <v>222</v>
      </c>
      <c r="S344">
        <v>0</v>
      </c>
      <c r="T344">
        <v>0</v>
      </c>
      <c r="U344">
        <v>0</v>
      </c>
      <c r="V344">
        <v>0</v>
      </c>
      <c r="W344">
        <v>0</v>
      </c>
      <c r="X344" s="140">
        <v>10000</v>
      </c>
      <c r="Y344" s="209">
        <f t="shared" si="5"/>
        <v>10000</v>
      </c>
      <c r="Z344">
        <v>0</v>
      </c>
      <c r="AE344"/>
      <c r="AF344"/>
      <c r="AG344" t="s">
        <v>223</v>
      </c>
      <c r="AN344" t="s">
        <v>218</v>
      </c>
      <c r="AO344" t="s">
        <v>224</v>
      </c>
      <c r="AP344" t="s">
        <v>225</v>
      </c>
      <c r="AQ344">
        <v>0.13</v>
      </c>
      <c r="AR344" t="s">
        <v>226</v>
      </c>
    </row>
    <row r="345" hidden="1" spans="1:44">
      <c r="A345" t="s">
        <v>105</v>
      </c>
      <c r="B345" t="s">
        <v>25</v>
      </c>
      <c r="C345" s="209" t="s">
        <v>26</v>
      </c>
      <c r="D345" s="210">
        <v>71020121060299</v>
      </c>
      <c r="E345" s="211">
        <v>44354</v>
      </c>
      <c r="F345" t="s">
        <v>218</v>
      </c>
      <c r="G345" t="s">
        <v>219</v>
      </c>
      <c r="H345">
        <v>4</v>
      </c>
      <c r="I345" t="s">
        <v>153</v>
      </c>
      <c r="J345" t="s">
        <v>220</v>
      </c>
      <c r="K345" t="s">
        <v>221</v>
      </c>
      <c r="L345">
        <v>1000</v>
      </c>
      <c r="M345" s="211">
        <v>44375</v>
      </c>
      <c r="N345" s="211">
        <v>44375</v>
      </c>
      <c r="O345" s="212" t="s">
        <v>60</v>
      </c>
      <c r="P345" t="s">
        <v>222</v>
      </c>
      <c r="S345">
        <v>0</v>
      </c>
      <c r="T345">
        <v>0</v>
      </c>
      <c r="U345">
        <v>0</v>
      </c>
      <c r="V345">
        <v>0</v>
      </c>
      <c r="W345">
        <v>0</v>
      </c>
      <c r="X345" s="140">
        <v>1000</v>
      </c>
      <c r="Y345" s="209">
        <f t="shared" si="5"/>
        <v>1000</v>
      </c>
      <c r="Z345">
        <v>0</v>
      </c>
      <c r="AE345"/>
      <c r="AF345"/>
      <c r="AG345" t="s">
        <v>223</v>
      </c>
      <c r="AN345" t="s">
        <v>218</v>
      </c>
      <c r="AO345" t="s">
        <v>224</v>
      </c>
      <c r="AP345" t="s">
        <v>225</v>
      </c>
      <c r="AQ345">
        <v>0.13</v>
      </c>
      <c r="AR345" t="s">
        <v>226</v>
      </c>
    </row>
    <row r="346" hidden="1" spans="1:44">
      <c r="A346" t="s">
        <v>105</v>
      </c>
      <c r="B346" t="s">
        <v>25</v>
      </c>
      <c r="C346" s="209" t="s">
        <v>26</v>
      </c>
      <c r="D346" s="210">
        <v>71020121060299</v>
      </c>
      <c r="E346" s="211">
        <v>44354</v>
      </c>
      <c r="F346" t="s">
        <v>218</v>
      </c>
      <c r="G346" t="s">
        <v>219</v>
      </c>
      <c r="H346">
        <v>5</v>
      </c>
      <c r="I346" t="s">
        <v>150</v>
      </c>
      <c r="J346" t="s">
        <v>228</v>
      </c>
      <c r="K346" t="s">
        <v>221</v>
      </c>
      <c r="L346">
        <v>1000</v>
      </c>
      <c r="M346" s="211">
        <v>44378</v>
      </c>
      <c r="N346" s="211">
        <v>44378</v>
      </c>
      <c r="O346" s="212" t="s">
        <v>60</v>
      </c>
      <c r="P346" t="s">
        <v>222</v>
      </c>
      <c r="S346">
        <v>0</v>
      </c>
      <c r="T346">
        <v>0</v>
      </c>
      <c r="U346">
        <v>0</v>
      </c>
      <c r="V346">
        <v>0</v>
      </c>
      <c r="W346">
        <v>0</v>
      </c>
      <c r="X346" s="140">
        <v>1000</v>
      </c>
      <c r="Y346" s="209">
        <f t="shared" si="5"/>
        <v>1000</v>
      </c>
      <c r="Z346">
        <v>0</v>
      </c>
      <c r="AE346"/>
      <c r="AF346"/>
      <c r="AG346" t="s">
        <v>223</v>
      </c>
      <c r="AN346" t="s">
        <v>218</v>
      </c>
      <c r="AO346" t="s">
        <v>224</v>
      </c>
      <c r="AP346" t="s">
        <v>225</v>
      </c>
      <c r="AQ346">
        <v>0.13</v>
      </c>
      <c r="AR346" t="s">
        <v>226</v>
      </c>
    </row>
    <row r="347" hidden="1" spans="1:44">
      <c r="A347" t="s">
        <v>105</v>
      </c>
      <c r="B347" t="s">
        <v>25</v>
      </c>
      <c r="C347" s="209" t="s">
        <v>26</v>
      </c>
      <c r="D347" s="210">
        <v>71020121060299</v>
      </c>
      <c r="E347" s="211">
        <v>44354</v>
      </c>
      <c r="F347" t="s">
        <v>218</v>
      </c>
      <c r="G347" t="s">
        <v>219</v>
      </c>
      <c r="H347">
        <v>6</v>
      </c>
      <c r="I347" t="s">
        <v>154</v>
      </c>
      <c r="J347" t="s">
        <v>220</v>
      </c>
      <c r="K347" t="s">
        <v>221</v>
      </c>
      <c r="L347">
        <v>1100</v>
      </c>
      <c r="M347" s="211">
        <v>44379</v>
      </c>
      <c r="N347" s="211">
        <v>44379</v>
      </c>
      <c r="O347" s="212" t="s">
        <v>60</v>
      </c>
      <c r="P347" t="s">
        <v>222</v>
      </c>
      <c r="S347">
        <v>0</v>
      </c>
      <c r="T347">
        <v>0</v>
      </c>
      <c r="U347">
        <v>0</v>
      </c>
      <c r="V347">
        <v>0</v>
      </c>
      <c r="W347">
        <v>0</v>
      </c>
      <c r="X347" s="140">
        <v>1100</v>
      </c>
      <c r="Y347" s="209">
        <f t="shared" si="5"/>
        <v>1100</v>
      </c>
      <c r="Z347">
        <v>0</v>
      </c>
      <c r="AE347"/>
      <c r="AF347"/>
      <c r="AG347" t="s">
        <v>223</v>
      </c>
      <c r="AN347" t="s">
        <v>218</v>
      </c>
      <c r="AO347" t="s">
        <v>224</v>
      </c>
      <c r="AP347" t="s">
        <v>225</v>
      </c>
      <c r="AQ347">
        <v>0.13</v>
      </c>
      <c r="AR347" t="s">
        <v>226</v>
      </c>
    </row>
    <row r="348" hidden="1" spans="1:44">
      <c r="A348" t="s">
        <v>105</v>
      </c>
      <c r="B348" t="s">
        <v>25</v>
      </c>
      <c r="C348" s="209" t="s">
        <v>26</v>
      </c>
      <c r="D348" s="210">
        <v>71020121060299</v>
      </c>
      <c r="E348" s="211">
        <v>44354</v>
      </c>
      <c r="F348" t="s">
        <v>218</v>
      </c>
      <c r="G348" t="s">
        <v>219</v>
      </c>
      <c r="H348">
        <v>7</v>
      </c>
      <c r="I348" t="s">
        <v>142</v>
      </c>
      <c r="J348" t="s">
        <v>258</v>
      </c>
      <c r="K348" t="s">
        <v>221</v>
      </c>
      <c r="L348">
        <v>900</v>
      </c>
      <c r="M348" s="211">
        <v>44375</v>
      </c>
      <c r="N348" s="211">
        <v>44375</v>
      </c>
      <c r="O348" s="212" t="s">
        <v>60</v>
      </c>
      <c r="P348" t="s">
        <v>222</v>
      </c>
      <c r="S348">
        <v>0</v>
      </c>
      <c r="T348">
        <v>0</v>
      </c>
      <c r="U348">
        <v>0</v>
      </c>
      <c r="V348">
        <v>0</v>
      </c>
      <c r="W348">
        <v>0</v>
      </c>
      <c r="X348" s="140">
        <v>900</v>
      </c>
      <c r="Y348" s="209">
        <f t="shared" si="5"/>
        <v>900</v>
      </c>
      <c r="Z348">
        <v>0</v>
      </c>
      <c r="AE348"/>
      <c r="AF348"/>
      <c r="AG348" t="s">
        <v>223</v>
      </c>
      <c r="AN348" t="s">
        <v>218</v>
      </c>
      <c r="AO348" t="s">
        <v>224</v>
      </c>
      <c r="AP348" t="s">
        <v>225</v>
      </c>
      <c r="AQ348">
        <v>0.13</v>
      </c>
      <c r="AR348" t="s">
        <v>226</v>
      </c>
    </row>
    <row r="349" hidden="1" spans="1:44">
      <c r="A349" t="s">
        <v>105</v>
      </c>
      <c r="B349" t="s">
        <v>25</v>
      </c>
      <c r="C349" s="209" t="s">
        <v>26</v>
      </c>
      <c r="D349" s="210">
        <v>71020121060468</v>
      </c>
      <c r="E349" s="211">
        <v>44355</v>
      </c>
      <c r="F349" t="s">
        <v>218</v>
      </c>
      <c r="G349" t="s">
        <v>219</v>
      </c>
      <c r="H349">
        <v>1</v>
      </c>
      <c r="I349" t="s">
        <v>156</v>
      </c>
      <c r="J349" t="s">
        <v>257</v>
      </c>
      <c r="K349" t="s">
        <v>221</v>
      </c>
      <c r="L349">
        <v>2769</v>
      </c>
      <c r="M349" s="211">
        <v>44356</v>
      </c>
      <c r="N349" s="211">
        <v>44356</v>
      </c>
      <c r="O349" s="212" t="s">
        <v>60</v>
      </c>
      <c r="P349" t="s">
        <v>222</v>
      </c>
      <c r="S349">
        <v>2282</v>
      </c>
      <c r="T349">
        <v>2282</v>
      </c>
      <c r="U349">
        <v>0</v>
      </c>
      <c r="V349">
        <v>2282</v>
      </c>
      <c r="W349">
        <v>2282</v>
      </c>
      <c r="X349" s="140">
        <v>487</v>
      </c>
      <c r="Y349" s="209">
        <f t="shared" si="5"/>
        <v>487</v>
      </c>
      <c r="Z349">
        <v>0</v>
      </c>
      <c r="AE349">
        <v>44355</v>
      </c>
      <c r="AF349">
        <v>44356</v>
      </c>
      <c r="AG349" t="s">
        <v>223</v>
      </c>
      <c r="AN349" t="s">
        <v>218</v>
      </c>
      <c r="AO349" t="s">
        <v>224</v>
      </c>
      <c r="AP349" t="s">
        <v>225</v>
      </c>
      <c r="AQ349">
        <v>0.13</v>
      </c>
      <c r="AR349" t="s">
        <v>226</v>
      </c>
    </row>
    <row r="350" hidden="1" spans="1:44">
      <c r="A350" t="s">
        <v>105</v>
      </c>
      <c r="B350" t="s">
        <v>25</v>
      </c>
      <c r="C350" s="209" t="s">
        <v>26</v>
      </c>
      <c r="D350" s="210">
        <v>71020121060623</v>
      </c>
      <c r="E350" s="211">
        <v>44358</v>
      </c>
      <c r="F350" t="s">
        <v>218</v>
      </c>
      <c r="G350" t="s">
        <v>219</v>
      </c>
      <c r="H350">
        <v>2</v>
      </c>
      <c r="I350" t="s">
        <v>152</v>
      </c>
      <c r="J350" t="s">
        <v>220</v>
      </c>
      <c r="K350" t="s">
        <v>221</v>
      </c>
      <c r="L350">
        <v>2800</v>
      </c>
      <c r="M350" s="211">
        <v>44369</v>
      </c>
      <c r="N350" s="211">
        <v>44369</v>
      </c>
      <c r="O350" s="212" t="s">
        <v>60</v>
      </c>
      <c r="P350" t="s">
        <v>222</v>
      </c>
      <c r="S350">
        <v>2307</v>
      </c>
      <c r="T350">
        <v>2307</v>
      </c>
      <c r="U350">
        <v>0</v>
      </c>
      <c r="V350">
        <v>2307</v>
      </c>
      <c r="W350">
        <v>2307</v>
      </c>
      <c r="X350" s="140">
        <v>493</v>
      </c>
      <c r="Y350" s="209">
        <f t="shared" si="5"/>
        <v>493</v>
      </c>
      <c r="Z350">
        <v>0</v>
      </c>
      <c r="AE350">
        <v>44371</v>
      </c>
      <c r="AF350">
        <v>44372</v>
      </c>
      <c r="AG350" t="s">
        <v>223</v>
      </c>
      <c r="AN350" t="s">
        <v>218</v>
      </c>
      <c r="AO350" t="s">
        <v>224</v>
      </c>
      <c r="AP350" t="s">
        <v>225</v>
      </c>
      <c r="AQ350">
        <v>0.13</v>
      </c>
      <c r="AR350" t="s">
        <v>226</v>
      </c>
    </row>
    <row r="351" hidden="1" spans="1:44">
      <c r="A351" t="s">
        <v>105</v>
      </c>
      <c r="B351" t="s">
        <v>25</v>
      </c>
      <c r="C351" s="209" t="s">
        <v>26</v>
      </c>
      <c r="D351" s="210">
        <v>71020121060623</v>
      </c>
      <c r="E351" s="211">
        <v>44358</v>
      </c>
      <c r="F351" t="s">
        <v>218</v>
      </c>
      <c r="G351" t="s">
        <v>219</v>
      </c>
      <c r="H351">
        <v>3</v>
      </c>
      <c r="I351" t="s">
        <v>149</v>
      </c>
      <c r="J351" t="s">
        <v>229</v>
      </c>
      <c r="K351" t="s">
        <v>221</v>
      </c>
      <c r="L351">
        <v>10000</v>
      </c>
      <c r="M351" s="211">
        <v>44359</v>
      </c>
      <c r="N351" s="211">
        <v>44359</v>
      </c>
      <c r="O351" s="212" t="s">
        <v>60</v>
      </c>
      <c r="P351" t="s">
        <v>222</v>
      </c>
      <c r="S351">
        <v>8740</v>
      </c>
      <c r="T351">
        <v>8740</v>
      </c>
      <c r="U351">
        <v>0</v>
      </c>
      <c r="V351">
        <v>8740</v>
      </c>
      <c r="W351">
        <v>6832</v>
      </c>
      <c r="X351" s="140">
        <v>1260</v>
      </c>
      <c r="Y351" s="209">
        <f t="shared" si="5"/>
        <v>1260</v>
      </c>
      <c r="Z351">
        <v>0</v>
      </c>
      <c r="AE351">
        <v>44391</v>
      </c>
      <c r="AF351">
        <v>44391</v>
      </c>
      <c r="AG351" t="s">
        <v>223</v>
      </c>
      <c r="AN351" t="s">
        <v>218</v>
      </c>
      <c r="AO351" t="s">
        <v>224</v>
      </c>
      <c r="AP351" t="s">
        <v>225</v>
      </c>
      <c r="AQ351">
        <v>0.13</v>
      </c>
      <c r="AR351" t="s">
        <v>226</v>
      </c>
    </row>
    <row r="352" hidden="1" spans="1:44">
      <c r="A352" t="s">
        <v>105</v>
      </c>
      <c r="B352" t="s">
        <v>25</v>
      </c>
      <c r="C352" s="209" t="s">
        <v>26</v>
      </c>
      <c r="D352" s="210">
        <v>71020121060806</v>
      </c>
      <c r="E352" s="211">
        <v>44363</v>
      </c>
      <c r="F352" t="s">
        <v>218</v>
      </c>
      <c r="G352" t="s">
        <v>219</v>
      </c>
      <c r="H352">
        <v>1</v>
      </c>
      <c r="I352" t="s">
        <v>150</v>
      </c>
      <c r="J352" t="s">
        <v>228</v>
      </c>
      <c r="K352" t="s">
        <v>221</v>
      </c>
      <c r="L352">
        <v>6600</v>
      </c>
      <c r="M352" s="211">
        <v>44395</v>
      </c>
      <c r="N352" s="211">
        <v>44395</v>
      </c>
      <c r="O352" s="212" t="s">
        <v>60</v>
      </c>
      <c r="P352" t="s">
        <v>222</v>
      </c>
      <c r="S352">
        <v>0</v>
      </c>
      <c r="T352">
        <v>0</v>
      </c>
      <c r="U352">
        <v>0</v>
      </c>
      <c r="V352">
        <v>0</v>
      </c>
      <c r="W352">
        <v>0</v>
      </c>
      <c r="X352" s="140">
        <v>6600</v>
      </c>
      <c r="Y352" s="209">
        <f t="shared" si="5"/>
        <v>6600</v>
      </c>
      <c r="Z352">
        <v>0</v>
      </c>
      <c r="AE352"/>
      <c r="AF352"/>
      <c r="AG352" t="s">
        <v>223</v>
      </c>
      <c r="AN352" t="s">
        <v>218</v>
      </c>
      <c r="AO352" t="s">
        <v>224</v>
      </c>
      <c r="AP352" t="s">
        <v>225</v>
      </c>
      <c r="AQ352">
        <v>0.13</v>
      </c>
      <c r="AR352" t="s">
        <v>226</v>
      </c>
    </row>
    <row r="353" hidden="1" spans="1:44">
      <c r="A353" t="s">
        <v>105</v>
      </c>
      <c r="B353" t="s">
        <v>25</v>
      </c>
      <c r="C353" s="209" t="s">
        <v>26</v>
      </c>
      <c r="D353" s="210">
        <v>71020121060806</v>
      </c>
      <c r="E353" s="211">
        <v>44363</v>
      </c>
      <c r="F353" t="s">
        <v>218</v>
      </c>
      <c r="G353" t="s">
        <v>219</v>
      </c>
      <c r="H353">
        <v>2</v>
      </c>
      <c r="I353" t="s">
        <v>145</v>
      </c>
      <c r="J353" t="s">
        <v>256</v>
      </c>
      <c r="K353" t="s">
        <v>221</v>
      </c>
      <c r="L353">
        <v>3700</v>
      </c>
      <c r="M353" s="211">
        <v>44407</v>
      </c>
      <c r="N353" s="211">
        <v>44407</v>
      </c>
      <c r="O353" s="212" t="s">
        <v>60</v>
      </c>
      <c r="P353" t="s">
        <v>222</v>
      </c>
      <c r="S353">
        <v>0</v>
      </c>
      <c r="T353">
        <v>0</v>
      </c>
      <c r="U353">
        <v>0</v>
      </c>
      <c r="V353">
        <v>0</v>
      </c>
      <c r="W353">
        <v>0</v>
      </c>
      <c r="X353" s="140">
        <v>3700</v>
      </c>
      <c r="Y353" s="209">
        <f t="shared" si="5"/>
        <v>3700</v>
      </c>
      <c r="Z353">
        <v>0</v>
      </c>
      <c r="AE353"/>
      <c r="AF353"/>
      <c r="AG353" t="s">
        <v>223</v>
      </c>
      <c r="AN353" t="s">
        <v>218</v>
      </c>
      <c r="AO353" t="s">
        <v>224</v>
      </c>
      <c r="AP353" t="s">
        <v>225</v>
      </c>
      <c r="AQ353">
        <v>0.13</v>
      </c>
      <c r="AR353" t="s">
        <v>226</v>
      </c>
    </row>
    <row r="354" hidden="1" spans="1:44">
      <c r="A354" t="s">
        <v>105</v>
      </c>
      <c r="B354" t="s">
        <v>25</v>
      </c>
      <c r="C354" s="209" t="s">
        <v>26</v>
      </c>
      <c r="D354" s="210">
        <v>71020121060806</v>
      </c>
      <c r="E354" s="211">
        <v>44363</v>
      </c>
      <c r="F354" t="s">
        <v>218</v>
      </c>
      <c r="G354" t="s">
        <v>219</v>
      </c>
      <c r="H354">
        <v>3</v>
      </c>
      <c r="I354" t="s">
        <v>145</v>
      </c>
      <c r="J354" t="s">
        <v>256</v>
      </c>
      <c r="K354" t="s">
        <v>221</v>
      </c>
      <c r="L354">
        <v>5000</v>
      </c>
      <c r="M354" s="211">
        <v>44406</v>
      </c>
      <c r="N354" s="211">
        <v>44406</v>
      </c>
      <c r="O354" s="212" t="s">
        <v>60</v>
      </c>
      <c r="P354" t="s">
        <v>222</v>
      </c>
      <c r="S354">
        <v>0</v>
      </c>
      <c r="T354">
        <v>0</v>
      </c>
      <c r="U354">
        <v>0</v>
      </c>
      <c r="V354">
        <v>0</v>
      </c>
      <c r="W354">
        <v>0</v>
      </c>
      <c r="X354" s="140">
        <v>5000</v>
      </c>
      <c r="Y354" s="209">
        <f t="shared" si="5"/>
        <v>5000</v>
      </c>
      <c r="Z354">
        <v>0</v>
      </c>
      <c r="AE354"/>
      <c r="AF354"/>
      <c r="AG354" t="s">
        <v>223</v>
      </c>
      <c r="AN354" t="s">
        <v>218</v>
      </c>
      <c r="AO354" t="s">
        <v>224</v>
      </c>
      <c r="AP354" t="s">
        <v>225</v>
      </c>
      <c r="AQ354">
        <v>0.13</v>
      </c>
      <c r="AR354" t="s">
        <v>226</v>
      </c>
    </row>
    <row r="355" hidden="1" spans="1:44">
      <c r="A355" t="s">
        <v>105</v>
      </c>
      <c r="B355" t="s">
        <v>25</v>
      </c>
      <c r="C355" s="209" t="s">
        <v>26</v>
      </c>
      <c r="D355" s="210">
        <v>71020121060806</v>
      </c>
      <c r="E355" s="211">
        <v>44363</v>
      </c>
      <c r="F355" t="s">
        <v>218</v>
      </c>
      <c r="G355" t="s">
        <v>219</v>
      </c>
      <c r="H355">
        <v>4</v>
      </c>
      <c r="I355" t="s">
        <v>145</v>
      </c>
      <c r="J355" t="s">
        <v>256</v>
      </c>
      <c r="K355" t="s">
        <v>221</v>
      </c>
      <c r="L355">
        <v>6300</v>
      </c>
      <c r="M355" s="211">
        <v>44397</v>
      </c>
      <c r="N355" s="211">
        <v>44397</v>
      </c>
      <c r="O355" s="212" t="s">
        <v>60</v>
      </c>
      <c r="P355" t="s">
        <v>222</v>
      </c>
      <c r="S355">
        <v>0</v>
      </c>
      <c r="T355">
        <v>0</v>
      </c>
      <c r="U355">
        <v>0</v>
      </c>
      <c r="V355">
        <v>0</v>
      </c>
      <c r="W355">
        <v>0</v>
      </c>
      <c r="X355" s="140">
        <v>6300</v>
      </c>
      <c r="Y355" s="209">
        <f t="shared" si="5"/>
        <v>6300</v>
      </c>
      <c r="Z355">
        <v>0</v>
      </c>
      <c r="AE355"/>
      <c r="AF355"/>
      <c r="AG355" t="s">
        <v>223</v>
      </c>
      <c r="AN355" t="s">
        <v>218</v>
      </c>
      <c r="AO355" t="s">
        <v>224</v>
      </c>
      <c r="AP355" t="s">
        <v>225</v>
      </c>
      <c r="AQ355">
        <v>0.13</v>
      </c>
      <c r="AR355" t="s">
        <v>226</v>
      </c>
    </row>
    <row r="356" hidden="1" spans="1:44">
      <c r="A356" t="s">
        <v>105</v>
      </c>
      <c r="B356" t="s">
        <v>25</v>
      </c>
      <c r="C356" s="209" t="s">
        <v>26</v>
      </c>
      <c r="D356" s="210">
        <v>71020121060806</v>
      </c>
      <c r="E356" s="211">
        <v>44363</v>
      </c>
      <c r="F356" t="s">
        <v>218</v>
      </c>
      <c r="G356" t="s">
        <v>219</v>
      </c>
      <c r="H356">
        <v>5</v>
      </c>
      <c r="I356" t="s">
        <v>148</v>
      </c>
      <c r="J356" t="s">
        <v>229</v>
      </c>
      <c r="K356" t="s">
        <v>221</v>
      </c>
      <c r="L356">
        <v>1500</v>
      </c>
      <c r="M356" s="211">
        <v>44394</v>
      </c>
      <c r="N356" s="211">
        <v>44394</v>
      </c>
      <c r="O356" s="212" t="s">
        <v>60</v>
      </c>
      <c r="P356" t="s">
        <v>222</v>
      </c>
      <c r="S356">
        <v>0</v>
      </c>
      <c r="T356">
        <v>0</v>
      </c>
      <c r="U356">
        <v>0</v>
      </c>
      <c r="V356">
        <v>0</v>
      </c>
      <c r="W356">
        <v>0</v>
      </c>
      <c r="X356" s="140">
        <v>1500</v>
      </c>
      <c r="Y356" s="209">
        <f t="shared" si="5"/>
        <v>1500</v>
      </c>
      <c r="Z356">
        <v>0</v>
      </c>
      <c r="AE356"/>
      <c r="AF356"/>
      <c r="AG356" t="s">
        <v>223</v>
      </c>
      <c r="AN356" t="s">
        <v>218</v>
      </c>
      <c r="AO356" t="s">
        <v>224</v>
      </c>
      <c r="AP356" t="s">
        <v>225</v>
      </c>
      <c r="AQ356">
        <v>0.13</v>
      </c>
      <c r="AR356" t="s">
        <v>226</v>
      </c>
    </row>
    <row r="357" hidden="1" spans="1:44">
      <c r="A357" t="s">
        <v>105</v>
      </c>
      <c r="B357" t="s">
        <v>25</v>
      </c>
      <c r="C357" s="209" t="s">
        <v>26</v>
      </c>
      <c r="D357" s="210">
        <v>71020121060806</v>
      </c>
      <c r="E357" s="211">
        <v>44363</v>
      </c>
      <c r="F357" t="s">
        <v>218</v>
      </c>
      <c r="G357" t="s">
        <v>219</v>
      </c>
      <c r="H357">
        <v>6</v>
      </c>
      <c r="I357" t="s">
        <v>149</v>
      </c>
      <c r="J357" t="s">
        <v>229</v>
      </c>
      <c r="K357" t="s">
        <v>221</v>
      </c>
      <c r="L357">
        <v>3500</v>
      </c>
      <c r="M357" s="211">
        <v>44411</v>
      </c>
      <c r="N357" s="211">
        <v>44411</v>
      </c>
      <c r="O357" s="212" t="s">
        <v>227</v>
      </c>
      <c r="P357" t="s">
        <v>222</v>
      </c>
      <c r="S357">
        <v>0</v>
      </c>
      <c r="T357">
        <v>0</v>
      </c>
      <c r="U357">
        <v>0</v>
      </c>
      <c r="V357">
        <v>0</v>
      </c>
      <c r="W357">
        <v>0</v>
      </c>
      <c r="X357" s="140">
        <v>3500</v>
      </c>
      <c r="Y357" s="209">
        <f t="shared" si="5"/>
        <v>3500</v>
      </c>
      <c r="Z357">
        <v>0</v>
      </c>
      <c r="AE357"/>
      <c r="AF357"/>
      <c r="AG357" t="s">
        <v>223</v>
      </c>
      <c r="AN357" t="s">
        <v>218</v>
      </c>
      <c r="AO357" t="s">
        <v>224</v>
      </c>
      <c r="AP357" t="s">
        <v>225</v>
      </c>
      <c r="AQ357">
        <v>0.13</v>
      </c>
      <c r="AR357" t="s">
        <v>226</v>
      </c>
    </row>
    <row r="358" hidden="1" spans="1:44">
      <c r="A358" t="s">
        <v>105</v>
      </c>
      <c r="B358" t="s">
        <v>25</v>
      </c>
      <c r="C358" s="209" t="s">
        <v>26</v>
      </c>
      <c r="D358" s="210">
        <v>71020121060806</v>
      </c>
      <c r="E358" s="211">
        <v>44363</v>
      </c>
      <c r="F358" t="s">
        <v>218</v>
      </c>
      <c r="G358" t="s">
        <v>219</v>
      </c>
      <c r="H358">
        <v>7</v>
      </c>
      <c r="I358" t="s">
        <v>149</v>
      </c>
      <c r="J358" t="s">
        <v>229</v>
      </c>
      <c r="K358" t="s">
        <v>221</v>
      </c>
      <c r="L358">
        <v>5000</v>
      </c>
      <c r="M358" s="211">
        <v>44410</v>
      </c>
      <c r="N358" s="211">
        <v>44410</v>
      </c>
      <c r="O358" s="212" t="s">
        <v>227</v>
      </c>
      <c r="P358" t="s">
        <v>222</v>
      </c>
      <c r="S358">
        <v>0</v>
      </c>
      <c r="T358">
        <v>0</v>
      </c>
      <c r="U358">
        <v>0</v>
      </c>
      <c r="V358">
        <v>0</v>
      </c>
      <c r="W358">
        <v>0</v>
      </c>
      <c r="X358" s="140">
        <v>5000</v>
      </c>
      <c r="Y358" s="209">
        <f t="shared" si="5"/>
        <v>5000</v>
      </c>
      <c r="Z358">
        <v>0</v>
      </c>
      <c r="AE358"/>
      <c r="AF358"/>
      <c r="AG358" t="s">
        <v>223</v>
      </c>
      <c r="AN358" t="s">
        <v>218</v>
      </c>
      <c r="AO358" t="s">
        <v>224</v>
      </c>
      <c r="AP358" t="s">
        <v>225</v>
      </c>
      <c r="AQ358">
        <v>0.13</v>
      </c>
      <c r="AR358" t="s">
        <v>226</v>
      </c>
    </row>
    <row r="359" hidden="1" spans="1:44">
      <c r="A359" t="s">
        <v>105</v>
      </c>
      <c r="B359" t="s">
        <v>25</v>
      </c>
      <c r="C359" s="209" t="s">
        <v>26</v>
      </c>
      <c r="D359" s="210">
        <v>71020121060806</v>
      </c>
      <c r="E359" s="211">
        <v>44363</v>
      </c>
      <c r="F359" t="s">
        <v>218</v>
      </c>
      <c r="G359" t="s">
        <v>219</v>
      </c>
      <c r="H359">
        <v>8</v>
      </c>
      <c r="I359" t="s">
        <v>149</v>
      </c>
      <c r="J359" t="s">
        <v>229</v>
      </c>
      <c r="K359" t="s">
        <v>221</v>
      </c>
      <c r="L359">
        <v>5000</v>
      </c>
      <c r="M359" s="211">
        <v>44409</v>
      </c>
      <c r="N359" s="211">
        <v>44409</v>
      </c>
      <c r="O359" s="212" t="s">
        <v>227</v>
      </c>
      <c r="P359" t="s">
        <v>222</v>
      </c>
      <c r="S359">
        <v>0</v>
      </c>
      <c r="T359">
        <v>0</v>
      </c>
      <c r="U359">
        <v>0</v>
      </c>
      <c r="V359">
        <v>0</v>
      </c>
      <c r="W359">
        <v>0</v>
      </c>
      <c r="X359" s="140">
        <v>5000</v>
      </c>
      <c r="Y359" s="209">
        <f t="shared" si="5"/>
        <v>5000</v>
      </c>
      <c r="Z359">
        <v>0</v>
      </c>
      <c r="AE359"/>
      <c r="AF359"/>
      <c r="AG359" t="s">
        <v>223</v>
      </c>
      <c r="AN359" t="s">
        <v>218</v>
      </c>
      <c r="AO359" t="s">
        <v>224</v>
      </c>
      <c r="AP359" t="s">
        <v>225</v>
      </c>
      <c r="AQ359">
        <v>0.13</v>
      </c>
      <c r="AR359" t="s">
        <v>226</v>
      </c>
    </row>
    <row r="360" hidden="1" spans="1:44">
      <c r="A360" t="s">
        <v>105</v>
      </c>
      <c r="B360" t="s">
        <v>25</v>
      </c>
      <c r="C360" s="209" t="s">
        <v>26</v>
      </c>
      <c r="D360" s="210">
        <v>71020121060806</v>
      </c>
      <c r="E360" s="211">
        <v>44363</v>
      </c>
      <c r="F360" t="s">
        <v>218</v>
      </c>
      <c r="G360" t="s">
        <v>219</v>
      </c>
      <c r="H360">
        <v>9</v>
      </c>
      <c r="I360" t="s">
        <v>158</v>
      </c>
      <c r="J360" t="s">
        <v>257</v>
      </c>
      <c r="K360" t="s">
        <v>221</v>
      </c>
      <c r="L360">
        <v>5000</v>
      </c>
      <c r="M360" s="211">
        <v>44386</v>
      </c>
      <c r="N360" s="211">
        <v>44386</v>
      </c>
      <c r="O360" s="212" t="s">
        <v>60</v>
      </c>
      <c r="P360" t="s">
        <v>222</v>
      </c>
      <c r="S360">
        <v>0</v>
      </c>
      <c r="T360">
        <v>0</v>
      </c>
      <c r="U360">
        <v>0</v>
      </c>
      <c r="V360">
        <v>0</v>
      </c>
      <c r="W360">
        <v>0</v>
      </c>
      <c r="X360" s="140">
        <v>5000</v>
      </c>
      <c r="Y360" s="209">
        <f t="shared" si="5"/>
        <v>5000</v>
      </c>
      <c r="Z360">
        <v>0</v>
      </c>
      <c r="AE360"/>
      <c r="AF360"/>
      <c r="AG360" t="s">
        <v>223</v>
      </c>
      <c r="AN360" t="s">
        <v>218</v>
      </c>
      <c r="AO360" t="s">
        <v>224</v>
      </c>
      <c r="AP360" t="s">
        <v>225</v>
      </c>
      <c r="AQ360">
        <v>0.13</v>
      </c>
      <c r="AR360" t="s">
        <v>226</v>
      </c>
    </row>
    <row r="361" hidden="1" spans="1:44">
      <c r="A361" t="s">
        <v>105</v>
      </c>
      <c r="B361" t="s">
        <v>25</v>
      </c>
      <c r="C361" s="209" t="s">
        <v>26</v>
      </c>
      <c r="D361" s="210">
        <v>71020121060806</v>
      </c>
      <c r="E361" s="211">
        <v>44363</v>
      </c>
      <c r="F361" t="s">
        <v>218</v>
      </c>
      <c r="G361" t="s">
        <v>219</v>
      </c>
      <c r="H361">
        <v>10</v>
      </c>
      <c r="I361" t="s">
        <v>158</v>
      </c>
      <c r="J361" t="s">
        <v>257</v>
      </c>
      <c r="K361" t="s">
        <v>221</v>
      </c>
      <c r="L361">
        <v>6000</v>
      </c>
      <c r="M361" s="211">
        <v>44385</v>
      </c>
      <c r="N361" s="211">
        <v>44385</v>
      </c>
      <c r="O361" s="212" t="s">
        <v>60</v>
      </c>
      <c r="P361" t="s">
        <v>222</v>
      </c>
      <c r="S361">
        <v>0</v>
      </c>
      <c r="T361">
        <v>0</v>
      </c>
      <c r="U361">
        <v>0</v>
      </c>
      <c r="V361">
        <v>0</v>
      </c>
      <c r="W361">
        <v>0</v>
      </c>
      <c r="X361" s="140">
        <v>6000</v>
      </c>
      <c r="Y361" s="209">
        <f t="shared" si="5"/>
        <v>6000</v>
      </c>
      <c r="Z361">
        <v>0</v>
      </c>
      <c r="AE361"/>
      <c r="AF361"/>
      <c r="AG361" t="s">
        <v>223</v>
      </c>
      <c r="AN361" t="s">
        <v>218</v>
      </c>
      <c r="AO361" t="s">
        <v>224</v>
      </c>
      <c r="AP361" t="s">
        <v>225</v>
      </c>
      <c r="AQ361">
        <v>0.13</v>
      </c>
      <c r="AR361" t="s">
        <v>226</v>
      </c>
    </row>
    <row r="362" hidden="1" spans="1:44">
      <c r="A362" t="s">
        <v>105</v>
      </c>
      <c r="B362" t="s">
        <v>25</v>
      </c>
      <c r="C362" s="209" t="s">
        <v>26</v>
      </c>
      <c r="D362" s="210">
        <v>71020121060806</v>
      </c>
      <c r="E362" s="211">
        <v>44363</v>
      </c>
      <c r="F362" t="s">
        <v>218</v>
      </c>
      <c r="G362" t="s">
        <v>219</v>
      </c>
      <c r="H362">
        <v>11</v>
      </c>
      <c r="I362" t="s">
        <v>158</v>
      </c>
      <c r="J362" t="s">
        <v>257</v>
      </c>
      <c r="K362" t="s">
        <v>221</v>
      </c>
      <c r="L362">
        <v>6000</v>
      </c>
      <c r="M362" s="211">
        <v>44384</v>
      </c>
      <c r="N362" s="211">
        <v>44384</v>
      </c>
      <c r="O362" s="212" t="s">
        <v>60</v>
      </c>
      <c r="P362" t="s">
        <v>222</v>
      </c>
      <c r="S362">
        <v>0</v>
      </c>
      <c r="T362">
        <v>0</v>
      </c>
      <c r="U362">
        <v>0</v>
      </c>
      <c r="V362">
        <v>0</v>
      </c>
      <c r="W362">
        <v>0</v>
      </c>
      <c r="X362" s="140">
        <v>6000</v>
      </c>
      <c r="Y362" s="209">
        <f t="shared" si="5"/>
        <v>6000</v>
      </c>
      <c r="Z362">
        <v>0</v>
      </c>
      <c r="AE362"/>
      <c r="AF362"/>
      <c r="AG362" t="s">
        <v>223</v>
      </c>
      <c r="AN362" t="s">
        <v>218</v>
      </c>
      <c r="AO362" t="s">
        <v>224</v>
      </c>
      <c r="AP362" t="s">
        <v>225</v>
      </c>
      <c r="AQ362">
        <v>0.13</v>
      </c>
      <c r="AR362" t="s">
        <v>226</v>
      </c>
    </row>
    <row r="363" hidden="1" spans="1:44">
      <c r="A363" t="s">
        <v>105</v>
      </c>
      <c r="B363" t="s">
        <v>25</v>
      </c>
      <c r="C363" s="209" t="s">
        <v>26</v>
      </c>
      <c r="D363" s="210">
        <v>71020121060806</v>
      </c>
      <c r="E363" s="211">
        <v>44363</v>
      </c>
      <c r="F363" t="s">
        <v>218</v>
      </c>
      <c r="G363" t="s">
        <v>219</v>
      </c>
      <c r="H363">
        <v>12</v>
      </c>
      <c r="I363" t="s">
        <v>158</v>
      </c>
      <c r="J363" t="s">
        <v>257</v>
      </c>
      <c r="K363" t="s">
        <v>221</v>
      </c>
      <c r="L363">
        <v>6000</v>
      </c>
      <c r="M363" s="211">
        <v>44383</v>
      </c>
      <c r="N363" s="211">
        <v>44383</v>
      </c>
      <c r="O363" s="212" t="s">
        <v>60</v>
      </c>
      <c r="P363" t="s">
        <v>222</v>
      </c>
      <c r="S363">
        <v>0</v>
      </c>
      <c r="T363">
        <v>0</v>
      </c>
      <c r="U363">
        <v>0</v>
      </c>
      <c r="V363">
        <v>0</v>
      </c>
      <c r="W363">
        <v>0</v>
      </c>
      <c r="X363" s="140">
        <v>6000</v>
      </c>
      <c r="Y363" s="209">
        <f t="shared" si="5"/>
        <v>6000</v>
      </c>
      <c r="Z363">
        <v>0</v>
      </c>
      <c r="AE363"/>
      <c r="AF363"/>
      <c r="AG363" t="s">
        <v>223</v>
      </c>
      <c r="AN363" t="s">
        <v>218</v>
      </c>
      <c r="AO363" t="s">
        <v>224</v>
      </c>
      <c r="AP363" t="s">
        <v>225</v>
      </c>
      <c r="AQ363">
        <v>0.13</v>
      </c>
      <c r="AR363" t="s">
        <v>226</v>
      </c>
    </row>
    <row r="364" hidden="1" spans="1:44">
      <c r="A364" t="s">
        <v>105</v>
      </c>
      <c r="B364" t="s">
        <v>25</v>
      </c>
      <c r="C364" s="209" t="s">
        <v>26</v>
      </c>
      <c r="D364" s="210">
        <v>71020121060990</v>
      </c>
      <c r="E364" s="211">
        <v>44369</v>
      </c>
      <c r="F364" t="s">
        <v>218</v>
      </c>
      <c r="G364" t="s">
        <v>219</v>
      </c>
      <c r="H364">
        <v>1</v>
      </c>
      <c r="I364" t="s">
        <v>149</v>
      </c>
      <c r="J364" t="s">
        <v>229</v>
      </c>
      <c r="K364" t="s">
        <v>221</v>
      </c>
      <c r="L364">
        <v>2000</v>
      </c>
      <c r="M364" s="211">
        <v>44382</v>
      </c>
      <c r="N364" s="211">
        <v>44382</v>
      </c>
      <c r="O364" s="212" t="s">
        <v>60</v>
      </c>
      <c r="P364" t="s">
        <v>222</v>
      </c>
      <c r="S364">
        <v>0</v>
      </c>
      <c r="T364">
        <v>0</v>
      </c>
      <c r="U364">
        <v>0</v>
      </c>
      <c r="V364">
        <v>0</v>
      </c>
      <c r="W364">
        <v>0</v>
      </c>
      <c r="X364" s="140">
        <v>2000</v>
      </c>
      <c r="Y364" s="209">
        <f t="shared" si="5"/>
        <v>2000</v>
      </c>
      <c r="Z364">
        <v>0</v>
      </c>
      <c r="AE364"/>
      <c r="AF364"/>
      <c r="AG364" t="s">
        <v>223</v>
      </c>
      <c r="AN364" t="s">
        <v>218</v>
      </c>
      <c r="AO364" t="s">
        <v>224</v>
      </c>
      <c r="AP364" t="s">
        <v>225</v>
      </c>
      <c r="AQ364">
        <v>0.13</v>
      </c>
      <c r="AR364" t="s">
        <v>238</v>
      </c>
    </row>
    <row r="365" hidden="1" spans="1:44">
      <c r="A365" t="s">
        <v>105</v>
      </c>
      <c r="B365" t="s">
        <v>25</v>
      </c>
      <c r="C365" s="209" t="s">
        <v>26</v>
      </c>
      <c r="D365" s="210">
        <v>71020121060990</v>
      </c>
      <c r="E365" s="211">
        <v>44369</v>
      </c>
      <c r="F365" t="s">
        <v>218</v>
      </c>
      <c r="G365" t="s">
        <v>219</v>
      </c>
      <c r="H365">
        <v>2</v>
      </c>
      <c r="I365" t="s">
        <v>145</v>
      </c>
      <c r="J365" t="s">
        <v>256</v>
      </c>
      <c r="K365" t="s">
        <v>221</v>
      </c>
      <c r="L365">
        <v>8334</v>
      </c>
      <c r="M365" s="211">
        <v>44412</v>
      </c>
      <c r="N365" s="211">
        <v>44412</v>
      </c>
      <c r="O365" s="212" t="s">
        <v>227</v>
      </c>
      <c r="P365" t="s">
        <v>222</v>
      </c>
      <c r="S365">
        <v>0</v>
      </c>
      <c r="T365">
        <v>0</v>
      </c>
      <c r="U365">
        <v>0</v>
      </c>
      <c r="V365">
        <v>0</v>
      </c>
      <c r="W365">
        <v>0</v>
      </c>
      <c r="X365" s="140">
        <v>8334</v>
      </c>
      <c r="Y365" s="209">
        <f t="shared" si="5"/>
        <v>8334</v>
      </c>
      <c r="Z365">
        <v>0</v>
      </c>
      <c r="AE365"/>
      <c r="AF365"/>
      <c r="AG365" t="s">
        <v>223</v>
      </c>
      <c r="AN365" t="s">
        <v>218</v>
      </c>
      <c r="AO365" t="s">
        <v>224</v>
      </c>
      <c r="AP365" t="s">
        <v>225</v>
      </c>
      <c r="AQ365">
        <v>0.13</v>
      </c>
      <c r="AR365" t="s">
        <v>238</v>
      </c>
    </row>
    <row r="366" hidden="1" spans="1:44">
      <c r="A366" t="s">
        <v>105</v>
      </c>
      <c r="B366" t="s">
        <v>25</v>
      </c>
      <c r="C366" s="209" t="s">
        <v>26</v>
      </c>
      <c r="D366" s="210">
        <v>71020121060990</v>
      </c>
      <c r="E366" s="211">
        <v>44369</v>
      </c>
      <c r="F366" t="s">
        <v>218</v>
      </c>
      <c r="G366" t="s">
        <v>219</v>
      </c>
      <c r="H366">
        <v>3</v>
      </c>
      <c r="I366" t="s">
        <v>145</v>
      </c>
      <c r="J366" t="s">
        <v>256</v>
      </c>
      <c r="K366" t="s">
        <v>221</v>
      </c>
      <c r="L366">
        <v>2014</v>
      </c>
      <c r="M366" s="211">
        <v>44405</v>
      </c>
      <c r="N366" s="211">
        <v>44405</v>
      </c>
      <c r="O366" s="212" t="s">
        <v>60</v>
      </c>
      <c r="P366" t="s">
        <v>222</v>
      </c>
      <c r="S366">
        <v>0</v>
      </c>
      <c r="T366">
        <v>0</v>
      </c>
      <c r="U366">
        <v>0</v>
      </c>
      <c r="V366">
        <v>0</v>
      </c>
      <c r="W366">
        <v>0</v>
      </c>
      <c r="X366" s="140">
        <v>2014</v>
      </c>
      <c r="Y366" s="209">
        <f t="shared" si="5"/>
        <v>2014</v>
      </c>
      <c r="Z366">
        <v>0</v>
      </c>
      <c r="AE366"/>
      <c r="AF366"/>
      <c r="AG366" t="s">
        <v>223</v>
      </c>
      <c r="AN366" t="s">
        <v>218</v>
      </c>
      <c r="AO366" t="s">
        <v>224</v>
      </c>
      <c r="AP366" t="s">
        <v>225</v>
      </c>
      <c r="AQ366">
        <v>0.13</v>
      </c>
      <c r="AR366" t="s">
        <v>238</v>
      </c>
    </row>
    <row r="367" hidden="1" spans="1:44">
      <c r="A367" t="s">
        <v>105</v>
      </c>
      <c r="B367" t="s">
        <v>25</v>
      </c>
      <c r="C367" s="209" t="s">
        <v>26</v>
      </c>
      <c r="D367" s="210">
        <v>71020121060990</v>
      </c>
      <c r="E367" s="211">
        <v>44369</v>
      </c>
      <c r="F367" t="s">
        <v>218</v>
      </c>
      <c r="G367" t="s">
        <v>219</v>
      </c>
      <c r="H367">
        <v>11</v>
      </c>
      <c r="I367" t="s">
        <v>150</v>
      </c>
      <c r="J367" t="s">
        <v>228</v>
      </c>
      <c r="K367" t="s">
        <v>221</v>
      </c>
      <c r="L367">
        <v>7400</v>
      </c>
      <c r="M367" s="211">
        <v>44397</v>
      </c>
      <c r="N367" s="211">
        <v>44397</v>
      </c>
      <c r="O367" s="212" t="s">
        <v>60</v>
      </c>
      <c r="P367" t="s">
        <v>222</v>
      </c>
      <c r="S367">
        <v>0</v>
      </c>
      <c r="T367">
        <v>0</v>
      </c>
      <c r="U367">
        <v>0</v>
      </c>
      <c r="V367">
        <v>0</v>
      </c>
      <c r="W367">
        <v>0</v>
      </c>
      <c r="X367" s="140">
        <v>7400</v>
      </c>
      <c r="Y367" s="209">
        <f t="shared" si="5"/>
        <v>7400</v>
      </c>
      <c r="Z367">
        <v>0</v>
      </c>
      <c r="AE367"/>
      <c r="AF367"/>
      <c r="AG367" t="s">
        <v>223</v>
      </c>
      <c r="AN367" t="s">
        <v>218</v>
      </c>
      <c r="AO367" t="s">
        <v>224</v>
      </c>
      <c r="AP367" t="s">
        <v>225</v>
      </c>
      <c r="AQ367">
        <v>0.13</v>
      </c>
      <c r="AR367" t="s">
        <v>238</v>
      </c>
    </row>
    <row r="368" hidden="1" spans="1:44">
      <c r="A368" t="s">
        <v>105</v>
      </c>
      <c r="B368" t="s">
        <v>25</v>
      </c>
      <c r="C368" s="209" t="s">
        <v>26</v>
      </c>
      <c r="D368" s="210">
        <v>71020121060995</v>
      </c>
      <c r="E368" s="211">
        <v>44369</v>
      </c>
      <c r="F368" t="s">
        <v>218</v>
      </c>
      <c r="G368" t="s">
        <v>219</v>
      </c>
      <c r="H368">
        <v>1</v>
      </c>
      <c r="I368" t="s">
        <v>143</v>
      </c>
      <c r="J368" t="s">
        <v>258</v>
      </c>
      <c r="K368" t="s">
        <v>221</v>
      </c>
      <c r="L368">
        <v>11000</v>
      </c>
      <c r="M368" s="211">
        <v>44389</v>
      </c>
      <c r="N368" s="211">
        <v>44389</v>
      </c>
      <c r="O368" s="212" t="s">
        <v>60</v>
      </c>
      <c r="P368" t="s">
        <v>222</v>
      </c>
      <c r="S368">
        <v>0</v>
      </c>
      <c r="T368">
        <v>0</v>
      </c>
      <c r="U368">
        <v>0</v>
      </c>
      <c r="V368">
        <v>0</v>
      </c>
      <c r="W368">
        <v>0</v>
      </c>
      <c r="X368" s="140">
        <v>11000</v>
      </c>
      <c r="Y368" s="209">
        <f t="shared" si="5"/>
        <v>11000</v>
      </c>
      <c r="Z368">
        <v>0</v>
      </c>
      <c r="AE368"/>
      <c r="AF368"/>
      <c r="AG368" t="s">
        <v>223</v>
      </c>
      <c r="AN368" t="s">
        <v>218</v>
      </c>
      <c r="AO368" t="s">
        <v>224</v>
      </c>
      <c r="AP368" t="s">
        <v>225</v>
      </c>
      <c r="AQ368">
        <v>0.13</v>
      </c>
      <c r="AR368" t="s">
        <v>238</v>
      </c>
    </row>
    <row r="369" hidden="1" spans="1:44">
      <c r="A369" t="s">
        <v>105</v>
      </c>
      <c r="B369" t="s">
        <v>25</v>
      </c>
      <c r="C369" s="209" t="s">
        <v>26</v>
      </c>
      <c r="D369" s="210">
        <v>71020121060995</v>
      </c>
      <c r="E369" s="211">
        <v>44369</v>
      </c>
      <c r="F369" t="s">
        <v>218</v>
      </c>
      <c r="G369" t="s">
        <v>219</v>
      </c>
      <c r="H369">
        <v>2</v>
      </c>
      <c r="I369" t="s">
        <v>143</v>
      </c>
      <c r="J369" t="s">
        <v>258</v>
      </c>
      <c r="K369" t="s">
        <v>221</v>
      </c>
      <c r="L369">
        <v>12000</v>
      </c>
      <c r="M369" s="211">
        <v>44389</v>
      </c>
      <c r="N369" s="211">
        <v>44389</v>
      </c>
      <c r="O369" s="212" t="s">
        <v>60</v>
      </c>
      <c r="P369" t="s">
        <v>222</v>
      </c>
      <c r="S369">
        <v>0</v>
      </c>
      <c r="T369">
        <v>0</v>
      </c>
      <c r="U369">
        <v>0</v>
      </c>
      <c r="V369">
        <v>0</v>
      </c>
      <c r="W369">
        <v>0</v>
      </c>
      <c r="X369" s="140">
        <v>12000</v>
      </c>
      <c r="Y369" s="209">
        <f t="shared" si="5"/>
        <v>12000</v>
      </c>
      <c r="Z369">
        <v>0</v>
      </c>
      <c r="AE369"/>
      <c r="AF369"/>
      <c r="AG369" t="s">
        <v>223</v>
      </c>
      <c r="AN369" t="s">
        <v>218</v>
      </c>
      <c r="AO369" t="s">
        <v>224</v>
      </c>
      <c r="AP369" t="s">
        <v>225</v>
      </c>
      <c r="AQ369">
        <v>0.13</v>
      </c>
      <c r="AR369" t="s">
        <v>238</v>
      </c>
    </row>
    <row r="370" hidden="1" spans="1:44">
      <c r="A370" t="s">
        <v>105</v>
      </c>
      <c r="B370" t="s">
        <v>25</v>
      </c>
      <c r="C370" s="209" t="s">
        <v>26</v>
      </c>
      <c r="D370" s="210">
        <v>71020121060995</v>
      </c>
      <c r="E370" s="211">
        <v>44369</v>
      </c>
      <c r="F370" t="s">
        <v>218</v>
      </c>
      <c r="G370" t="s">
        <v>219</v>
      </c>
      <c r="H370">
        <v>3</v>
      </c>
      <c r="I370" t="s">
        <v>143</v>
      </c>
      <c r="J370" t="s">
        <v>258</v>
      </c>
      <c r="K370" t="s">
        <v>221</v>
      </c>
      <c r="L370">
        <v>12000</v>
      </c>
      <c r="M370" s="211">
        <v>44407</v>
      </c>
      <c r="N370" s="211">
        <v>44407</v>
      </c>
      <c r="O370" s="212" t="s">
        <v>60</v>
      </c>
      <c r="P370" t="s">
        <v>222</v>
      </c>
      <c r="S370">
        <v>0</v>
      </c>
      <c r="T370">
        <v>0</v>
      </c>
      <c r="U370">
        <v>0</v>
      </c>
      <c r="V370">
        <v>0</v>
      </c>
      <c r="W370">
        <v>0</v>
      </c>
      <c r="X370" s="140">
        <v>12000</v>
      </c>
      <c r="Y370" s="209">
        <f t="shared" si="5"/>
        <v>12000</v>
      </c>
      <c r="Z370">
        <v>0</v>
      </c>
      <c r="AE370"/>
      <c r="AF370"/>
      <c r="AG370" t="s">
        <v>223</v>
      </c>
      <c r="AN370" t="s">
        <v>218</v>
      </c>
      <c r="AO370" t="s">
        <v>224</v>
      </c>
      <c r="AP370" t="s">
        <v>225</v>
      </c>
      <c r="AQ370">
        <v>0.13</v>
      </c>
      <c r="AR370" t="s">
        <v>238</v>
      </c>
    </row>
    <row r="371" hidden="1" spans="1:44">
      <c r="A371" t="s">
        <v>105</v>
      </c>
      <c r="B371" t="s">
        <v>25</v>
      </c>
      <c r="C371" s="209" t="s">
        <v>26</v>
      </c>
      <c r="D371" s="210">
        <v>71020121060995</v>
      </c>
      <c r="E371" s="211">
        <v>44369</v>
      </c>
      <c r="F371" t="s">
        <v>218</v>
      </c>
      <c r="G371" t="s">
        <v>219</v>
      </c>
      <c r="H371">
        <v>4</v>
      </c>
      <c r="I371" t="s">
        <v>143</v>
      </c>
      <c r="J371" t="s">
        <v>258</v>
      </c>
      <c r="K371" t="s">
        <v>221</v>
      </c>
      <c r="L371">
        <v>12000</v>
      </c>
      <c r="M371" s="211">
        <v>44421</v>
      </c>
      <c r="N371" s="211">
        <v>44421</v>
      </c>
      <c r="O371" s="212" t="s">
        <v>227</v>
      </c>
      <c r="P371" t="s">
        <v>222</v>
      </c>
      <c r="S371">
        <v>0</v>
      </c>
      <c r="T371">
        <v>0</v>
      </c>
      <c r="U371">
        <v>0</v>
      </c>
      <c r="V371">
        <v>0</v>
      </c>
      <c r="W371">
        <v>0</v>
      </c>
      <c r="X371" s="140">
        <v>12000</v>
      </c>
      <c r="Y371" s="209">
        <f t="shared" si="5"/>
        <v>12000</v>
      </c>
      <c r="Z371">
        <v>0</v>
      </c>
      <c r="AE371"/>
      <c r="AF371"/>
      <c r="AG371" t="s">
        <v>223</v>
      </c>
      <c r="AN371" t="s">
        <v>218</v>
      </c>
      <c r="AO371" t="s">
        <v>224</v>
      </c>
      <c r="AP371" t="s">
        <v>225</v>
      </c>
      <c r="AQ371">
        <v>0.13</v>
      </c>
      <c r="AR371" t="s">
        <v>238</v>
      </c>
    </row>
    <row r="372" hidden="1" spans="1:44">
      <c r="A372" t="s">
        <v>105</v>
      </c>
      <c r="B372" t="s">
        <v>25</v>
      </c>
      <c r="C372" s="209" t="s">
        <v>26</v>
      </c>
      <c r="D372" s="210">
        <v>71020121061033</v>
      </c>
      <c r="E372" s="211">
        <v>44369</v>
      </c>
      <c r="F372" t="s">
        <v>218</v>
      </c>
      <c r="G372" t="s">
        <v>219</v>
      </c>
      <c r="H372">
        <v>1</v>
      </c>
      <c r="I372" t="s">
        <v>142</v>
      </c>
      <c r="J372" t="s">
        <v>258</v>
      </c>
      <c r="K372" t="s">
        <v>221</v>
      </c>
      <c r="L372">
        <v>189</v>
      </c>
      <c r="M372" s="211">
        <v>44387</v>
      </c>
      <c r="N372" s="211">
        <v>44387</v>
      </c>
      <c r="O372" s="212" t="s">
        <v>60</v>
      </c>
      <c r="P372" t="s">
        <v>222</v>
      </c>
      <c r="S372">
        <v>0</v>
      </c>
      <c r="T372">
        <v>0</v>
      </c>
      <c r="U372">
        <v>0</v>
      </c>
      <c r="V372">
        <v>0</v>
      </c>
      <c r="W372">
        <v>0</v>
      </c>
      <c r="X372" s="140">
        <v>189</v>
      </c>
      <c r="Y372" s="209">
        <f t="shared" si="5"/>
        <v>189</v>
      </c>
      <c r="Z372">
        <v>0</v>
      </c>
      <c r="AE372"/>
      <c r="AF372"/>
      <c r="AG372" t="s">
        <v>223</v>
      </c>
      <c r="AN372" t="s">
        <v>218</v>
      </c>
      <c r="AO372" t="s">
        <v>224</v>
      </c>
      <c r="AP372" t="s">
        <v>225</v>
      </c>
      <c r="AQ372">
        <v>0.13</v>
      </c>
      <c r="AR372" t="s">
        <v>238</v>
      </c>
    </row>
    <row r="373" hidden="1" spans="1:44">
      <c r="A373" t="s">
        <v>105</v>
      </c>
      <c r="B373" t="s">
        <v>25</v>
      </c>
      <c r="C373" s="209" t="s">
        <v>26</v>
      </c>
      <c r="D373" s="210">
        <v>71020121061033</v>
      </c>
      <c r="E373" s="211">
        <v>44369</v>
      </c>
      <c r="F373" t="s">
        <v>218</v>
      </c>
      <c r="G373" t="s">
        <v>219</v>
      </c>
      <c r="H373">
        <v>2</v>
      </c>
      <c r="I373" t="s">
        <v>142</v>
      </c>
      <c r="J373" t="s">
        <v>258</v>
      </c>
      <c r="K373" t="s">
        <v>221</v>
      </c>
      <c r="L373">
        <v>189</v>
      </c>
      <c r="M373" s="211">
        <v>44390</v>
      </c>
      <c r="N373" s="211">
        <v>44390</v>
      </c>
      <c r="O373" s="212" t="s">
        <v>60</v>
      </c>
      <c r="P373" t="s">
        <v>222</v>
      </c>
      <c r="S373">
        <v>0</v>
      </c>
      <c r="T373">
        <v>0</v>
      </c>
      <c r="U373">
        <v>0</v>
      </c>
      <c r="V373">
        <v>0</v>
      </c>
      <c r="W373">
        <v>0</v>
      </c>
      <c r="X373" s="140">
        <v>189</v>
      </c>
      <c r="Y373" s="209">
        <f t="shared" si="5"/>
        <v>189</v>
      </c>
      <c r="Z373">
        <v>0</v>
      </c>
      <c r="AE373"/>
      <c r="AF373"/>
      <c r="AG373" t="s">
        <v>223</v>
      </c>
      <c r="AN373" t="s">
        <v>218</v>
      </c>
      <c r="AO373" t="s">
        <v>224</v>
      </c>
      <c r="AP373" t="s">
        <v>225</v>
      </c>
      <c r="AQ373">
        <v>0.13</v>
      </c>
      <c r="AR373" t="s">
        <v>238</v>
      </c>
    </row>
    <row r="374" hidden="1" spans="1:44">
      <c r="A374" t="s">
        <v>105</v>
      </c>
      <c r="B374" t="s">
        <v>25</v>
      </c>
      <c r="C374" s="209" t="s">
        <v>26</v>
      </c>
      <c r="D374" s="210">
        <v>71020121061033</v>
      </c>
      <c r="E374" s="211">
        <v>44369</v>
      </c>
      <c r="F374" t="s">
        <v>218</v>
      </c>
      <c r="G374" t="s">
        <v>219</v>
      </c>
      <c r="H374">
        <v>3</v>
      </c>
      <c r="I374" t="s">
        <v>142</v>
      </c>
      <c r="J374" t="s">
        <v>258</v>
      </c>
      <c r="K374" t="s">
        <v>221</v>
      </c>
      <c r="L374">
        <v>190</v>
      </c>
      <c r="M374" s="211">
        <v>44379</v>
      </c>
      <c r="N374" s="211">
        <v>44379</v>
      </c>
      <c r="O374" s="212" t="s">
        <v>60</v>
      </c>
      <c r="P374" t="s">
        <v>222</v>
      </c>
      <c r="S374">
        <v>0</v>
      </c>
      <c r="T374">
        <v>0</v>
      </c>
      <c r="U374">
        <v>0</v>
      </c>
      <c r="V374">
        <v>0</v>
      </c>
      <c r="W374">
        <v>0</v>
      </c>
      <c r="X374" s="140">
        <v>190</v>
      </c>
      <c r="Y374" s="209">
        <f t="shared" si="5"/>
        <v>190</v>
      </c>
      <c r="Z374">
        <v>0</v>
      </c>
      <c r="AE374"/>
      <c r="AF374"/>
      <c r="AG374" t="s">
        <v>223</v>
      </c>
      <c r="AN374" t="s">
        <v>218</v>
      </c>
      <c r="AO374" t="s">
        <v>224</v>
      </c>
      <c r="AP374" t="s">
        <v>225</v>
      </c>
      <c r="AQ374">
        <v>0.13</v>
      </c>
      <c r="AR374" t="s">
        <v>238</v>
      </c>
    </row>
    <row r="375" hidden="1" spans="1:44">
      <c r="A375" t="s">
        <v>105</v>
      </c>
      <c r="B375" t="s">
        <v>25</v>
      </c>
      <c r="C375" s="209" t="s">
        <v>26</v>
      </c>
      <c r="D375" s="210">
        <v>71020121061041</v>
      </c>
      <c r="E375" s="211">
        <v>44369</v>
      </c>
      <c r="F375" t="s">
        <v>218</v>
      </c>
      <c r="G375" t="s">
        <v>219</v>
      </c>
      <c r="H375">
        <v>1</v>
      </c>
      <c r="I375" t="s">
        <v>159</v>
      </c>
      <c r="J375" t="s">
        <v>220</v>
      </c>
      <c r="K375" t="s">
        <v>221</v>
      </c>
      <c r="L375">
        <v>3500</v>
      </c>
      <c r="M375" s="211">
        <v>44367</v>
      </c>
      <c r="N375" s="211">
        <v>44367</v>
      </c>
      <c r="O375" s="212" t="s">
        <v>60</v>
      </c>
      <c r="P375" t="s">
        <v>222</v>
      </c>
      <c r="S375">
        <v>0</v>
      </c>
      <c r="T375">
        <v>0</v>
      </c>
      <c r="U375">
        <v>0</v>
      </c>
      <c r="V375">
        <v>0</v>
      </c>
      <c r="W375">
        <v>0</v>
      </c>
      <c r="X375" s="140">
        <v>3500</v>
      </c>
      <c r="Y375" s="209">
        <f t="shared" si="5"/>
        <v>3500</v>
      </c>
      <c r="Z375">
        <v>0</v>
      </c>
      <c r="AE375"/>
      <c r="AF375"/>
      <c r="AG375" t="s">
        <v>223</v>
      </c>
      <c r="AN375" t="s">
        <v>218</v>
      </c>
      <c r="AO375" t="s">
        <v>224</v>
      </c>
      <c r="AP375" t="s">
        <v>225</v>
      </c>
      <c r="AQ375">
        <v>0.13</v>
      </c>
      <c r="AR375" t="s">
        <v>226</v>
      </c>
    </row>
    <row r="376" hidden="1" spans="1:44">
      <c r="A376" t="s">
        <v>105</v>
      </c>
      <c r="B376" t="s">
        <v>25</v>
      </c>
      <c r="C376" s="209" t="s">
        <v>26</v>
      </c>
      <c r="D376" s="210">
        <v>71020121061041</v>
      </c>
      <c r="E376" s="211">
        <v>44369</v>
      </c>
      <c r="F376" t="s">
        <v>218</v>
      </c>
      <c r="G376" t="s">
        <v>219</v>
      </c>
      <c r="H376">
        <v>2</v>
      </c>
      <c r="I376" t="s">
        <v>159</v>
      </c>
      <c r="J376" t="s">
        <v>220</v>
      </c>
      <c r="K376" t="s">
        <v>221</v>
      </c>
      <c r="L376">
        <v>3000</v>
      </c>
      <c r="M376" s="211">
        <v>44366</v>
      </c>
      <c r="N376" s="211">
        <v>44366</v>
      </c>
      <c r="O376" s="212" t="s">
        <v>60</v>
      </c>
      <c r="P376" t="s">
        <v>222</v>
      </c>
      <c r="S376">
        <v>0</v>
      </c>
      <c r="T376">
        <v>0</v>
      </c>
      <c r="U376">
        <v>0</v>
      </c>
      <c r="V376">
        <v>0</v>
      </c>
      <c r="W376">
        <v>0</v>
      </c>
      <c r="X376" s="140">
        <v>3000</v>
      </c>
      <c r="Y376" s="209">
        <f t="shared" si="5"/>
        <v>3000</v>
      </c>
      <c r="Z376">
        <v>0</v>
      </c>
      <c r="AE376"/>
      <c r="AF376"/>
      <c r="AG376" t="s">
        <v>223</v>
      </c>
      <c r="AN376" t="s">
        <v>218</v>
      </c>
      <c r="AO376" t="s">
        <v>224</v>
      </c>
      <c r="AP376" t="s">
        <v>225</v>
      </c>
      <c r="AQ376">
        <v>0.13</v>
      </c>
      <c r="AR376" t="s">
        <v>226</v>
      </c>
    </row>
    <row r="377" hidden="1" spans="1:44">
      <c r="A377" t="s">
        <v>105</v>
      </c>
      <c r="B377" t="s">
        <v>25</v>
      </c>
      <c r="C377" s="209" t="s">
        <v>26</v>
      </c>
      <c r="D377" s="210">
        <v>71020121061041</v>
      </c>
      <c r="E377" s="211">
        <v>44369</v>
      </c>
      <c r="F377" t="s">
        <v>218</v>
      </c>
      <c r="G377" t="s">
        <v>219</v>
      </c>
      <c r="H377">
        <v>3</v>
      </c>
      <c r="I377" t="s">
        <v>160</v>
      </c>
      <c r="J377" t="s">
        <v>220</v>
      </c>
      <c r="K377" t="s">
        <v>221</v>
      </c>
      <c r="L377">
        <v>4000</v>
      </c>
      <c r="M377" s="211">
        <v>44385</v>
      </c>
      <c r="N377" s="211">
        <v>44385</v>
      </c>
      <c r="O377" s="212" t="s">
        <v>60</v>
      </c>
      <c r="P377" t="s">
        <v>222</v>
      </c>
      <c r="S377">
        <v>0</v>
      </c>
      <c r="T377">
        <v>0</v>
      </c>
      <c r="U377">
        <v>0</v>
      </c>
      <c r="V377">
        <v>0</v>
      </c>
      <c r="W377">
        <v>0</v>
      </c>
      <c r="X377" s="140">
        <v>4000</v>
      </c>
      <c r="Y377" s="209">
        <f t="shared" si="5"/>
        <v>4000</v>
      </c>
      <c r="Z377">
        <v>0</v>
      </c>
      <c r="AE377"/>
      <c r="AF377"/>
      <c r="AG377" t="s">
        <v>223</v>
      </c>
      <c r="AN377" t="s">
        <v>218</v>
      </c>
      <c r="AO377" t="s">
        <v>224</v>
      </c>
      <c r="AP377" t="s">
        <v>225</v>
      </c>
      <c r="AQ377">
        <v>0.13</v>
      </c>
      <c r="AR377" t="s">
        <v>226</v>
      </c>
    </row>
    <row r="378" hidden="1" spans="1:44">
      <c r="A378" t="s">
        <v>105</v>
      </c>
      <c r="B378" t="s">
        <v>25</v>
      </c>
      <c r="C378" s="209" t="s">
        <v>26</v>
      </c>
      <c r="D378" s="210">
        <v>71020121061041</v>
      </c>
      <c r="E378" s="211">
        <v>44369</v>
      </c>
      <c r="F378" t="s">
        <v>218</v>
      </c>
      <c r="G378" t="s">
        <v>219</v>
      </c>
      <c r="H378">
        <v>4</v>
      </c>
      <c r="I378" t="s">
        <v>160</v>
      </c>
      <c r="J378" t="s">
        <v>220</v>
      </c>
      <c r="K378" t="s">
        <v>221</v>
      </c>
      <c r="L378">
        <v>3000</v>
      </c>
      <c r="M378" s="211">
        <v>44384</v>
      </c>
      <c r="N378" s="211">
        <v>44384</v>
      </c>
      <c r="O378" s="212" t="s">
        <v>60</v>
      </c>
      <c r="P378" t="s">
        <v>222</v>
      </c>
      <c r="S378">
        <v>0</v>
      </c>
      <c r="T378">
        <v>0</v>
      </c>
      <c r="U378">
        <v>0</v>
      </c>
      <c r="V378">
        <v>0</v>
      </c>
      <c r="W378">
        <v>0</v>
      </c>
      <c r="X378" s="140">
        <v>3000</v>
      </c>
      <c r="Y378" s="209">
        <f t="shared" si="5"/>
        <v>3000</v>
      </c>
      <c r="Z378">
        <v>0</v>
      </c>
      <c r="AE378"/>
      <c r="AF378"/>
      <c r="AG378" t="s">
        <v>223</v>
      </c>
      <c r="AN378" t="s">
        <v>218</v>
      </c>
      <c r="AO378" t="s">
        <v>224</v>
      </c>
      <c r="AP378" t="s">
        <v>225</v>
      </c>
      <c r="AQ378">
        <v>0.13</v>
      </c>
      <c r="AR378" t="s">
        <v>226</v>
      </c>
    </row>
    <row r="379" hidden="1" spans="1:44">
      <c r="A379" t="s">
        <v>105</v>
      </c>
      <c r="B379" t="s">
        <v>25</v>
      </c>
      <c r="C379" s="209" t="s">
        <v>26</v>
      </c>
      <c r="D379" s="210">
        <v>71020121061041</v>
      </c>
      <c r="E379" s="211">
        <v>44369</v>
      </c>
      <c r="F379" t="s">
        <v>218</v>
      </c>
      <c r="G379" t="s">
        <v>219</v>
      </c>
      <c r="H379">
        <v>5</v>
      </c>
      <c r="I379" t="s">
        <v>160</v>
      </c>
      <c r="J379" t="s">
        <v>220</v>
      </c>
      <c r="K379" t="s">
        <v>221</v>
      </c>
      <c r="L379">
        <v>3000</v>
      </c>
      <c r="M379" s="211">
        <v>44383</v>
      </c>
      <c r="N379" s="211">
        <v>44383</v>
      </c>
      <c r="O379" s="212" t="s">
        <v>60</v>
      </c>
      <c r="P379" t="s">
        <v>222</v>
      </c>
      <c r="S379">
        <v>0</v>
      </c>
      <c r="T379">
        <v>0</v>
      </c>
      <c r="U379">
        <v>0</v>
      </c>
      <c r="V379">
        <v>0</v>
      </c>
      <c r="W379">
        <v>0</v>
      </c>
      <c r="X379" s="140">
        <v>3000</v>
      </c>
      <c r="Y379" s="209">
        <f t="shared" si="5"/>
        <v>3000</v>
      </c>
      <c r="Z379">
        <v>0</v>
      </c>
      <c r="AE379"/>
      <c r="AF379"/>
      <c r="AG379" t="s">
        <v>223</v>
      </c>
      <c r="AN379" t="s">
        <v>218</v>
      </c>
      <c r="AO379" t="s">
        <v>224</v>
      </c>
      <c r="AP379" t="s">
        <v>225</v>
      </c>
      <c r="AQ379">
        <v>0.13</v>
      </c>
      <c r="AR379" t="s">
        <v>226</v>
      </c>
    </row>
    <row r="380" hidden="1" spans="1:44">
      <c r="A380" t="s">
        <v>105</v>
      </c>
      <c r="B380" t="s">
        <v>25</v>
      </c>
      <c r="C380" s="209" t="s">
        <v>26</v>
      </c>
      <c r="D380" s="210">
        <v>71020121061041</v>
      </c>
      <c r="E380" s="211">
        <v>44369</v>
      </c>
      <c r="F380" t="s">
        <v>218</v>
      </c>
      <c r="G380" t="s">
        <v>219</v>
      </c>
      <c r="H380">
        <v>6</v>
      </c>
      <c r="I380" t="s">
        <v>160</v>
      </c>
      <c r="J380" t="s">
        <v>220</v>
      </c>
      <c r="K380" t="s">
        <v>221</v>
      </c>
      <c r="L380">
        <v>3300</v>
      </c>
      <c r="M380" s="211">
        <v>44367</v>
      </c>
      <c r="N380" s="211">
        <v>44367</v>
      </c>
      <c r="O380" s="212" t="s">
        <v>60</v>
      </c>
      <c r="P380" t="s">
        <v>222</v>
      </c>
      <c r="S380">
        <v>0</v>
      </c>
      <c r="T380">
        <v>0</v>
      </c>
      <c r="U380">
        <v>0</v>
      </c>
      <c r="V380">
        <v>0</v>
      </c>
      <c r="W380">
        <v>0</v>
      </c>
      <c r="X380" s="140">
        <v>3300</v>
      </c>
      <c r="Y380" s="209">
        <f t="shared" si="5"/>
        <v>3300</v>
      </c>
      <c r="Z380">
        <v>0</v>
      </c>
      <c r="AE380"/>
      <c r="AF380"/>
      <c r="AG380" t="s">
        <v>223</v>
      </c>
      <c r="AN380" t="s">
        <v>218</v>
      </c>
      <c r="AO380" t="s">
        <v>224</v>
      </c>
      <c r="AP380" t="s">
        <v>225</v>
      </c>
      <c r="AQ380">
        <v>0.13</v>
      </c>
      <c r="AR380" t="s">
        <v>226</v>
      </c>
    </row>
    <row r="381" hidden="1" spans="1:44">
      <c r="A381" t="s">
        <v>105</v>
      </c>
      <c r="B381" t="s">
        <v>25</v>
      </c>
      <c r="C381" s="209" t="s">
        <v>26</v>
      </c>
      <c r="D381" s="210">
        <v>71020121061041</v>
      </c>
      <c r="E381" s="211">
        <v>44369</v>
      </c>
      <c r="F381" t="s">
        <v>218</v>
      </c>
      <c r="G381" t="s">
        <v>219</v>
      </c>
      <c r="H381">
        <v>7</v>
      </c>
      <c r="I381" t="s">
        <v>160</v>
      </c>
      <c r="J381" t="s">
        <v>220</v>
      </c>
      <c r="K381" t="s">
        <v>221</v>
      </c>
      <c r="L381">
        <v>3000</v>
      </c>
      <c r="M381" s="211">
        <v>44366</v>
      </c>
      <c r="N381" s="211">
        <v>44366</v>
      </c>
      <c r="O381" s="212" t="s">
        <v>60</v>
      </c>
      <c r="P381" t="s">
        <v>222</v>
      </c>
      <c r="S381">
        <v>0</v>
      </c>
      <c r="T381">
        <v>0</v>
      </c>
      <c r="U381">
        <v>0</v>
      </c>
      <c r="V381">
        <v>0</v>
      </c>
      <c r="W381">
        <v>0</v>
      </c>
      <c r="X381" s="140">
        <v>3000</v>
      </c>
      <c r="Y381" s="209">
        <f t="shared" si="5"/>
        <v>3000</v>
      </c>
      <c r="Z381">
        <v>0</v>
      </c>
      <c r="AE381"/>
      <c r="AF381"/>
      <c r="AG381" t="s">
        <v>223</v>
      </c>
      <c r="AN381" t="s">
        <v>218</v>
      </c>
      <c r="AO381" t="s">
        <v>224</v>
      </c>
      <c r="AP381" t="s">
        <v>225</v>
      </c>
      <c r="AQ381">
        <v>0.13</v>
      </c>
      <c r="AR381" t="s">
        <v>226</v>
      </c>
    </row>
    <row r="382" hidden="1" spans="1:44">
      <c r="A382" t="s">
        <v>105</v>
      </c>
      <c r="B382" t="s">
        <v>25</v>
      </c>
      <c r="C382" s="209" t="s">
        <v>26</v>
      </c>
      <c r="D382" s="210">
        <v>71020121061041</v>
      </c>
      <c r="E382" s="211">
        <v>44369</v>
      </c>
      <c r="F382" t="s">
        <v>218</v>
      </c>
      <c r="G382" t="s">
        <v>219</v>
      </c>
      <c r="H382">
        <v>8</v>
      </c>
      <c r="I382" t="s">
        <v>159</v>
      </c>
      <c r="J382" t="s">
        <v>220</v>
      </c>
      <c r="K382" t="s">
        <v>221</v>
      </c>
      <c r="L382">
        <v>3000</v>
      </c>
      <c r="M382" s="211">
        <v>44382</v>
      </c>
      <c r="N382" s="211">
        <v>44382</v>
      </c>
      <c r="O382" s="212" t="s">
        <v>60</v>
      </c>
      <c r="P382" t="s">
        <v>222</v>
      </c>
      <c r="S382">
        <v>0</v>
      </c>
      <c r="T382">
        <v>0</v>
      </c>
      <c r="U382">
        <v>0</v>
      </c>
      <c r="V382">
        <v>0</v>
      </c>
      <c r="W382">
        <v>0</v>
      </c>
      <c r="X382" s="140">
        <v>3000</v>
      </c>
      <c r="Y382" s="209">
        <f t="shared" si="5"/>
        <v>3000</v>
      </c>
      <c r="Z382">
        <v>0</v>
      </c>
      <c r="AE382"/>
      <c r="AF382"/>
      <c r="AG382" t="s">
        <v>223</v>
      </c>
      <c r="AN382" t="s">
        <v>218</v>
      </c>
      <c r="AO382" t="s">
        <v>224</v>
      </c>
      <c r="AP382" t="s">
        <v>225</v>
      </c>
      <c r="AQ382">
        <v>0.13</v>
      </c>
      <c r="AR382" t="s">
        <v>226</v>
      </c>
    </row>
    <row r="383" hidden="1" spans="1:44">
      <c r="A383" t="s">
        <v>105</v>
      </c>
      <c r="B383" t="s">
        <v>25</v>
      </c>
      <c r="C383" s="209" t="s">
        <v>26</v>
      </c>
      <c r="D383" s="210">
        <v>71020121061134</v>
      </c>
      <c r="E383" s="211">
        <v>44371</v>
      </c>
      <c r="F383" t="s">
        <v>218</v>
      </c>
      <c r="G383" t="s">
        <v>219</v>
      </c>
      <c r="H383">
        <v>1</v>
      </c>
      <c r="I383" t="s">
        <v>141</v>
      </c>
      <c r="J383" t="s">
        <v>248</v>
      </c>
      <c r="K383" t="s">
        <v>221</v>
      </c>
      <c r="L383">
        <v>10500</v>
      </c>
      <c r="M383" s="211">
        <v>44421</v>
      </c>
      <c r="N383" s="211">
        <v>44421</v>
      </c>
      <c r="O383" s="212" t="s">
        <v>227</v>
      </c>
      <c r="P383" t="s">
        <v>222</v>
      </c>
      <c r="S383">
        <v>0</v>
      </c>
      <c r="T383">
        <v>0</v>
      </c>
      <c r="U383">
        <v>0</v>
      </c>
      <c r="V383">
        <v>0</v>
      </c>
      <c r="W383">
        <v>0</v>
      </c>
      <c r="X383" s="140">
        <v>10500</v>
      </c>
      <c r="Y383" s="209">
        <f t="shared" si="5"/>
        <v>10500</v>
      </c>
      <c r="Z383">
        <v>0</v>
      </c>
      <c r="AE383"/>
      <c r="AF383"/>
      <c r="AG383" t="s">
        <v>223</v>
      </c>
      <c r="AN383" t="s">
        <v>218</v>
      </c>
      <c r="AO383" t="s">
        <v>224</v>
      </c>
      <c r="AP383" t="s">
        <v>225</v>
      </c>
      <c r="AQ383">
        <v>0.13</v>
      </c>
      <c r="AR383" t="s">
        <v>238</v>
      </c>
    </row>
    <row r="384" hidden="1" spans="1:44">
      <c r="A384" t="s">
        <v>105</v>
      </c>
      <c r="B384" t="s">
        <v>25</v>
      </c>
      <c r="C384" s="209" t="s">
        <v>26</v>
      </c>
      <c r="D384" s="210">
        <v>71020121061134</v>
      </c>
      <c r="E384" s="211">
        <v>44371</v>
      </c>
      <c r="F384" t="s">
        <v>218</v>
      </c>
      <c r="G384" t="s">
        <v>219</v>
      </c>
      <c r="H384">
        <v>2</v>
      </c>
      <c r="I384" t="s">
        <v>141</v>
      </c>
      <c r="J384" t="s">
        <v>248</v>
      </c>
      <c r="K384" t="s">
        <v>221</v>
      </c>
      <c r="L384">
        <v>10500</v>
      </c>
      <c r="M384" s="211">
        <v>44414</v>
      </c>
      <c r="N384" s="211">
        <v>44414</v>
      </c>
      <c r="O384" s="212" t="s">
        <v>227</v>
      </c>
      <c r="P384" t="s">
        <v>222</v>
      </c>
      <c r="S384">
        <v>0</v>
      </c>
      <c r="T384">
        <v>0</v>
      </c>
      <c r="U384">
        <v>0</v>
      </c>
      <c r="V384">
        <v>0</v>
      </c>
      <c r="W384">
        <v>0</v>
      </c>
      <c r="X384" s="140">
        <v>10500</v>
      </c>
      <c r="Y384" s="209">
        <f t="shared" si="5"/>
        <v>10500</v>
      </c>
      <c r="Z384">
        <v>0</v>
      </c>
      <c r="AE384"/>
      <c r="AF384"/>
      <c r="AG384" t="s">
        <v>223</v>
      </c>
      <c r="AN384" t="s">
        <v>218</v>
      </c>
      <c r="AO384" t="s">
        <v>224</v>
      </c>
      <c r="AP384" t="s">
        <v>225</v>
      </c>
      <c r="AQ384">
        <v>0.13</v>
      </c>
      <c r="AR384" t="s">
        <v>238</v>
      </c>
    </row>
    <row r="385" hidden="1" spans="1:44">
      <c r="A385" t="s">
        <v>105</v>
      </c>
      <c r="B385" t="s">
        <v>25</v>
      </c>
      <c r="C385" s="209" t="s">
        <v>26</v>
      </c>
      <c r="D385" s="210">
        <v>71020121061134</v>
      </c>
      <c r="E385" s="211">
        <v>44371</v>
      </c>
      <c r="F385" t="s">
        <v>218</v>
      </c>
      <c r="G385" t="s">
        <v>219</v>
      </c>
      <c r="H385">
        <v>3</v>
      </c>
      <c r="I385" t="s">
        <v>141</v>
      </c>
      <c r="J385" t="s">
        <v>248</v>
      </c>
      <c r="K385" t="s">
        <v>221</v>
      </c>
      <c r="L385">
        <v>10500</v>
      </c>
      <c r="M385" s="211">
        <v>44407</v>
      </c>
      <c r="N385" s="211">
        <v>44407</v>
      </c>
      <c r="O385" s="212" t="s">
        <v>60</v>
      </c>
      <c r="P385" t="s">
        <v>222</v>
      </c>
      <c r="S385">
        <v>0</v>
      </c>
      <c r="T385">
        <v>0</v>
      </c>
      <c r="U385">
        <v>0</v>
      </c>
      <c r="V385">
        <v>0</v>
      </c>
      <c r="W385">
        <v>0</v>
      </c>
      <c r="X385" s="140">
        <v>10500</v>
      </c>
      <c r="Y385" s="209">
        <f t="shared" si="5"/>
        <v>10500</v>
      </c>
      <c r="Z385">
        <v>0</v>
      </c>
      <c r="AE385"/>
      <c r="AF385"/>
      <c r="AG385" t="s">
        <v>223</v>
      </c>
      <c r="AN385" t="s">
        <v>218</v>
      </c>
      <c r="AO385" t="s">
        <v>224</v>
      </c>
      <c r="AP385" t="s">
        <v>225</v>
      </c>
      <c r="AQ385">
        <v>0.13</v>
      </c>
      <c r="AR385" t="s">
        <v>238</v>
      </c>
    </row>
    <row r="386" hidden="1" spans="1:44">
      <c r="A386" t="s">
        <v>105</v>
      </c>
      <c r="B386" t="s">
        <v>25</v>
      </c>
      <c r="C386" s="209" t="s">
        <v>26</v>
      </c>
      <c r="D386" s="210">
        <v>71020121061134</v>
      </c>
      <c r="E386" s="211">
        <v>44371</v>
      </c>
      <c r="F386" t="s">
        <v>218</v>
      </c>
      <c r="G386" t="s">
        <v>219</v>
      </c>
      <c r="H386">
        <v>4</v>
      </c>
      <c r="I386" t="s">
        <v>141</v>
      </c>
      <c r="J386" t="s">
        <v>248</v>
      </c>
      <c r="K386" t="s">
        <v>221</v>
      </c>
      <c r="L386">
        <v>10500</v>
      </c>
      <c r="M386" s="211">
        <v>44394</v>
      </c>
      <c r="N386" s="211">
        <v>44382</v>
      </c>
      <c r="O386" s="212" t="s">
        <v>60</v>
      </c>
      <c r="P386" t="s">
        <v>222</v>
      </c>
      <c r="S386">
        <v>5200</v>
      </c>
      <c r="T386">
        <v>5200</v>
      </c>
      <c r="U386">
        <v>0</v>
      </c>
      <c r="V386">
        <v>5200</v>
      </c>
      <c r="W386">
        <v>0</v>
      </c>
      <c r="X386" s="140">
        <v>5300</v>
      </c>
      <c r="Y386" s="209">
        <f t="shared" si="5"/>
        <v>5300</v>
      </c>
      <c r="Z386">
        <v>0</v>
      </c>
      <c r="AE386">
        <v>44385</v>
      </c>
      <c r="AF386">
        <v>44385</v>
      </c>
      <c r="AG386" t="s">
        <v>223</v>
      </c>
      <c r="AN386" t="s">
        <v>218</v>
      </c>
      <c r="AO386" t="s">
        <v>224</v>
      </c>
      <c r="AP386" t="s">
        <v>225</v>
      </c>
      <c r="AQ386">
        <v>0.13</v>
      </c>
      <c r="AR386" t="s">
        <v>238</v>
      </c>
    </row>
    <row r="387" hidden="1" spans="1:44">
      <c r="A387" t="s">
        <v>105</v>
      </c>
      <c r="B387" t="s">
        <v>25</v>
      </c>
      <c r="C387" s="209" t="s">
        <v>26</v>
      </c>
      <c r="D387" s="210">
        <v>71020121061317</v>
      </c>
      <c r="E387" s="211">
        <v>44375</v>
      </c>
      <c r="F387" t="s">
        <v>218</v>
      </c>
      <c r="G387" t="s">
        <v>219</v>
      </c>
      <c r="H387">
        <v>2</v>
      </c>
      <c r="I387" t="s">
        <v>146</v>
      </c>
      <c r="J387" t="s">
        <v>229</v>
      </c>
      <c r="K387" t="s">
        <v>221</v>
      </c>
      <c r="L387">
        <v>2016</v>
      </c>
      <c r="M387" s="211">
        <v>44397</v>
      </c>
      <c r="N387" s="211">
        <v>44397</v>
      </c>
      <c r="O387" s="212" t="s">
        <v>60</v>
      </c>
      <c r="P387" t="s">
        <v>222</v>
      </c>
      <c r="S387">
        <v>0</v>
      </c>
      <c r="T387">
        <v>0</v>
      </c>
      <c r="U387">
        <v>0</v>
      </c>
      <c r="V387">
        <v>0</v>
      </c>
      <c r="W387">
        <v>0</v>
      </c>
      <c r="X387" s="140">
        <v>2016</v>
      </c>
      <c r="Y387" s="209">
        <f t="shared" ref="Y387:Y450" si="6">L387-S387</f>
        <v>2016</v>
      </c>
      <c r="Z387">
        <v>0</v>
      </c>
      <c r="AE387"/>
      <c r="AF387"/>
      <c r="AG387" t="s">
        <v>223</v>
      </c>
      <c r="AN387" t="s">
        <v>218</v>
      </c>
      <c r="AO387" t="s">
        <v>224</v>
      </c>
      <c r="AP387" t="s">
        <v>225</v>
      </c>
      <c r="AQ387">
        <v>0.13</v>
      </c>
      <c r="AR387" t="s">
        <v>226</v>
      </c>
    </row>
    <row r="388" hidden="1" spans="1:44">
      <c r="A388" t="s">
        <v>105</v>
      </c>
      <c r="B388" t="s">
        <v>25</v>
      </c>
      <c r="C388" s="209" t="s">
        <v>26</v>
      </c>
      <c r="D388" s="210">
        <v>71020121061317</v>
      </c>
      <c r="E388" s="211">
        <v>44375</v>
      </c>
      <c r="F388" t="s">
        <v>218</v>
      </c>
      <c r="G388" t="s">
        <v>219</v>
      </c>
      <c r="H388">
        <v>3</v>
      </c>
      <c r="I388" t="s">
        <v>146</v>
      </c>
      <c r="J388" t="s">
        <v>229</v>
      </c>
      <c r="K388" t="s">
        <v>221</v>
      </c>
      <c r="L388">
        <v>2016</v>
      </c>
      <c r="M388" s="211">
        <v>44398</v>
      </c>
      <c r="N388" s="211">
        <v>44398</v>
      </c>
      <c r="O388" s="212" t="s">
        <v>60</v>
      </c>
      <c r="P388" t="s">
        <v>222</v>
      </c>
      <c r="S388">
        <v>0</v>
      </c>
      <c r="T388">
        <v>0</v>
      </c>
      <c r="U388">
        <v>0</v>
      </c>
      <c r="V388">
        <v>0</v>
      </c>
      <c r="W388">
        <v>0</v>
      </c>
      <c r="X388" s="140">
        <v>2016</v>
      </c>
      <c r="Y388" s="209">
        <f t="shared" si="6"/>
        <v>2016</v>
      </c>
      <c r="Z388">
        <v>0</v>
      </c>
      <c r="AE388"/>
      <c r="AF388"/>
      <c r="AG388" t="s">
        <v>223</v>
      </c>
      <c r="AN388" t="s">
        <v>218</v>
      </c>
      <c r="AO388" t="s">
        <v>224</v>
      </c>
      <c r="AP388" t="s">
        <v>225</v>
      </c>
      <c r="AQ388">
        <v>0.13</v>
      </c>
      <c r="AR388" t="s">
        <v>226</v>
      </c>
    </row>
    <row r="389" hidden="1" spans="1:44">
      <c r="A389" t="s">
        <v>105</v>
      </c>
      <c r="B389" t="s">
        <v>25</v>
      </c>
      <c r="C389" s="209" t="s">
        <v>26</v>
      </c>
      <c r="D389" s="210">
        <v>71020121061317</v>
      </c>
      <c r="E389" s="211">
        <v>44375</v>
      </c>
      <c r="F389" t="s">
        <v>218</v>
      </c>
      <c r="G389" t="s">
        <v>219</v>
      </c>
      <c r="H389">
        <v>4</v>
      </c>
      <c r="I389" t="s">
        <v>146</v>
      </c>
      <c r="J389" t="s">
        <v>229</v>
      </c>
      <c r="K389" t="s">
        <v>221</v>
      </c>
      <c r="L389">
        <v>2016</v>
      </c>
      <c r="M389" s="211">
        <v>44399</v>
      </c>
      <c r="N389" s="211">
        <v>44399</v>
      </c>
      <c r="O389" s="212" t="s">
        <v>60</v>
      </c>
      <c r="P389" t="s">
        <v>222</v>
      </c>
      <c r="S389">
        <v>0</v>
      </c>
      <c r="T389">
        <v>0</v>
      </c>
      <c r="U389">
        <v>0</v>
      </c>
      <c r="V389">
        <v>0</v>
      </c>
      <c r="W389">
        <v>0</v>
      </c>
      <c r="X389" s="140">
        <v>2016</v>
      </c>
      <c r="Y389" s="209">
        <f t="shared" si="6"/>
        <v>2016</v>
      </c>
      <c r="Z389">
        <v>0</v>
      </c>
      <c r="AE389"/>
      <c r="AF389"/>
      <c r="AG389" t="s">
        <v>223</v>
      </c>
      <c r="AN389" t="s">
        <v>218</v>
      </c>
      <c r="AO389" t="s">
        <v>224</v>
      </c>
      <c r="AP389" t="s">
        <v>225</v>
      </c>
      <c r="AQ389">
        <v>0.13</v>
      </c>
      <c r="AR389" t="s">
        <v>226</v>
      </c>
    </row>
    <row r="390" hidden="1" spans="1:44">
      <c r="A390" t="s">
        <v>105</v>
      </c>
      <c r="B390" t="s">
        <v>25</v>
      </c>
      <c r="C390" s="209" t="s">
        <v>26</v>
      </c>
      <c r="D390" s="210">
        <v>71020121061329</v>
      </c>
      <c r="E390" s="211">
        <v>44375</v>
      </c>
      <c r="F390" t="s">
        <v>218</v>
      </c>
      <c r="G390" t="s">
        <v>219</v>
      </c>
      <c r="H390">
        <v>1</v>
      </c>
      <c r="I390" t="s">
        <v>157</v>
      </c>
      <c r="J390" t="s">
        <v>257</v>
      </c>
      <c r="K390" t="s">
        <v>221</v>
      </c>
      <c r="L390">
        <v>10000</v>
      </c>
      <c r="M390" s="211">
        <v>44374</v>
      </c>
      <c r="N390" s="211">
        <v>44374</v>
      </c>
      <c r="O390" s="212" t="s">
        <v>60</v>
      </c>
      <c r="P390" t="s">
        <v>222</v>
      </c>
      <c r="S390">
        <v>6829</v>
      </c>
      <c r="T390">
        <v>6829</v>
      </c>
      <c r="U390">
        <v>0</v>
      </c>
      <c r="V390">
        <v>6829</v>
      </c>
      <c r="W390">
        <v>6829</v>
      </c>
      <c r="X390" s="140">
        <v>3171</v>
      </c>
      <c r="Y390" s="209">
        <f t="shared" si="6"/>
        <v>3171</v>
      </c>
      <c r="Z390">
        <v>0</v>
      </c>
      <c r="AE390">
        <v>44377</v>
      </c>
      <c r="AF390">
        <v>44377</v>
      </c>
      <c r="AG390" t="s">
        <v>223</v>
      </c>
      <c r="AN390" t="s">
        <v>218</v>
      </c>
      <c r="AO390" t="s">
        <v>224</v>
      </c>
      <c r="AP390" t="s">
        <v>225</v>
      </c>
      <c r="AQ390">
        <v>0.13</v>
      </c>
      <c r="AR390" t="s">
        <v>226</v>
      </c>
    </row>
    <row r="391" hidden="1" spans="1:44">
      <c r="A391" t="s">
        <v>105</v>
      </c>
      <c r="B391" t="s">
        <v>25</v>
      </c>
      <c r="C391" s="209" t="s">
        <v>26</v>
      </c>
      <c r="D391" s="210">
        <v>71020121061449</v>
      </c>
      <c r="E391" s="211">
        <v>44377</v>
      </c>
      <c r="F391" t="s">
        <v>218</v>
      </c>
      <c r="G391" t="s">
        <v>219</v>
      </c>
      <c r="H391">
        <v>1</v>
      </c>
      <c r="I391" t="s">
        <v>147</v>
      </c>
      <c r="J391" t="s">
        <v>248</v>
      </c>
      <c r="K391" t="s">
        <v>221</v>
      </c>
      <c r="L391">
        <v>590</v>
      </c>
      <c r="M391" s="211">
        <v>44392</v>
      </c>
      <c r="N391" s="211">
        <v>44404</v>
      </c>
      <c r="O391" s="212" t="s">
        <v>60</v>
      </c>
      <c r="P391" t="s">
        <v>222</v>
      </c>
      <c r="S391">
        <v>0</v>
      </c>
      <c r="T391">
        <v>0</v>
      </c>
      <c r="U391">
        <v>0</v>
      </c>
      <c r="V391">
        <v>0</v>
      </c>
      <c r="W391">
        <v>0</v>
      </c>
      <c r="X391" s="140">
        <v>590</v>
      </c>
      <c r="Y391" s="209">
        <f t="shared" si="6"/>
        <v>590</v>
      </c>
      <c r="Z391">
        <v>0</v>
      </c>
      <c r="AE391"/>
      <c r="AF391"/>
      <c r="AG391" t="s">
        <v>223</v>
      </c>
      <c r="AN391" t="s">
        <v>218</v>
      </c>
      <c r="AO391" t="s">
        <v>224</v>
      </c>
      <c r="AP391" t="s">
        <v>225</v>
      </c>
      <c r="AQ391">
        <v>0.13</v>
      </c>
      <c r="AR391" t="s">
        <v>238</v>
      </c>
    </row>
    <row r="392" hidden="1" spans="1:44">
      <c r="A392" t="s">
        <v>105</v>
      </c>
      <c r="B392" t="s">
        <v>25</v>
      </c>
      <c r="C392" s="209" t="s">
        <v>26</v>
      </c>
      <c r="D392" s="210">
        <v>71020121061449</v>
      </c>
      <c r="E392" s="211">
        <v>44377</v>
      </c>
      <c r="F392" t="s">
        <v>218</v>
      </c>
      <c r="G392" t="s">
        <v>219</v>
      </c>
      <c r="H392">
        <v>2</v>
      </c>
      <c r="I392" t="s">
        <v>147</v>
      </c>
      <c r="J392" t="s">
        <v>248</v>
      </c>
      <c r="K392" t="s">
        <v>221</v>
      </c>
      <c r="L392">
        <v>2372</v>
      </c>
      <c r="M392" s="211">
        <v>44421</v>
      </c>
      <c r="N392" s="211">
        <v>44421</v>
      </c>
      <c r="O392" s="212" t="s">
        <v>227</v>
      </c>
      <c r="P392" t="s">
        <v>222</v>
      </c>
      <c r="S392">
        <v>0</v>
      </c>
      <c r="T392">
        <v>0</v>
      </c>
      <c r="U392">
        <v>0</v>
      </c>
      <c r="V392">
        <v>0</v>
      </c>
      <c r="W392">
        <v>0</v>
      </c>
      <c r="X392" s="140">
        <v>2372</v>
      </c>
      <c r="Y392" s="209">
        <f t="shared" si="6"/>
        <v>2372</v>
      </c>
      <c r="Z392">
        <v>0</v>
      </c>
      <c r="AE392"/>
      <c r="AF392"/>
      <c r="AG392" t="s">
        <v>223</v>
      </c>
      <c r="AN392" t="s">
        <v>218</v>
      </c>
      <c r="AO392" t="s">
        <v>224</v>
      </c>
      <c r="AP392" t="s">
        <v>225</v>
      </c>
      <c r="AQ392">
        <v>0.13</v>
      </c>
      <c r="AR392" t="s">
        <v>238</v>
      </c>
    </row>
    <row r="393" hidden="1" spans="1:44">
      <c r="A393" t="s">
        <v>105</v>
      </c>
      <c r="B393" t="s">
        <v>25</v>
      </c>
      <c r="C393" s="209" t="s">
        <v>26</v>
      </c>
      <c r="D393" s="210">
        <v>71020121061449</v>
      </c>
      <c r="E393" s="211">
        <v>44377</v>
      </c>
      <c r="F393" t="s">
        <v>218</v>
      </c>
      <c r="G393" t="s">
        <v>219</v>
      </c>
      <c r="H393">
        <v>3</v>
      </c>
      <c r="I393" t="s">
        <v>147</v>
      </c>
      <c r="J393" t="s">
        <v>248</v>
      </c>
      <c r="K393" t="s">
        <v>221</v>
      </c>
      <c r="L393">
        <v>2372</v>
      </c>
      <c r="M393" s="211">
        <v>44407</v>
      </c>
      <c r="N393" s="211">
        <v>44407</v>
      </c>
      <c r="O393" s="212" t="s">
        <v>60</v>
      </c>
      <c r="P393" t="s">
        <v>222</v>
      </c>
      <c r="S393">
        <v>0</v>
      </c>
      <c r="T393">
        <v>0</v>
      </c>
      <c r="U393">
        <v>0</v>
      </c>
      <c r="V393">
        <v>0</v>
      </c>
      <c r="W393">
        <v>0</v>
      </c>
      <c r="X393" s="140">
        <v>2372</v>
      </c>
      <c r="Y393" s="209">
        <f t="shared" si="6"/>
        <v>2372</v>
      </c>
      <c r="Z393">
        <v>0</v>
      </c>
      <c r="AE393"/>
      <c r="AF393"/>
      <c r="AG393" t="s">
        <v>223</v>
      </c>
      <c r="AN393" t="s">
        <v>218</v>
      </c>
      <c r="AO393" t="s">
        <v>224</v>
      </c>
      <c r="AP393" t="s">
        <v>225</v>
      </c>
      <c r="AQ393">
        <v>0.13</v>
      </c>
      <c r="AR393" t="s">
        <v>238</v>
      </c>
    </row>
    <row r="394" hidden="1" spans="1:44">
      <c r="A394" t="s">
        <v>105</v>
      </c>
      <c r="B394" t="s">
        <v>25</v>
      </c>
      <c r="C394" s="209" t="s">
        <v>26</v>
      </c>
      <c r="D394" s="210">
        <v>71020121061449</v>
      </c>
      <c r="E394" s="211">
        <v>44377</v>
      </c>
      <c r="F394" t="s">
        <v>218</v>
      </c>
      <c r="G394" t="s">
        <v>219</v>
      </c>
      <c r="H394">
        <v>4</v>
      </c>
      <c r="I394" t="s">
        <v>147</v>
      </c>
      <c r="J394" t="s">
        <v>248</v>
      </c>
      <c r="K394" t="s">
        <v>221</v>
      </c>
      <c r="L394">
        <v>2372</v>
      </c>
      <c r="M394" s="211">
        <v>44389</v>
      </c>
      <c r="N394" s="211">
        <v>44402</v>
      </c>
      <c r="O394" s="212" t="s">
        <v>60</v>
      </c>
      <c r="P394" t="s">
        <v>222</v>
      </c>
      <c r="S394">
        <v>0</v>
      </c>
      <c r="T394">
        <v>0</v>
      </c>
      <c r="U394">
        <v>0</v>
      </c>
      <c r="V394">
        <v>0</v>
      </c>
      <c r="W394">
        <v>0</v>
      </c>
      <c r="X394" s="140">
        <v>2372</v>
      </c>
      <c r="Y394" s="209">
        <f t="shared" si="6"/>
        <v>2372</v>
      </c>
      <c r="Z394">
        <v>0</v>
      </c>
      <c r="AE394"/>
      <c r="AF394"/>
      <c r="AG394" t="s">
        <v>223</v>
      </c>
      <c r="AN394" t="s">
        <v>218</v>
      </c>
      <c r="AO394" t="s">
        <v>224</v>
      </c>
      <c r="AP394" t="s">
        <v>225</v>
      </c>
      <c r="AQ394">
        <v>0.13</v>
      </c>
      <c r="AR394" t="s">
        <v>238</v>
      </c>
    </row>
    <row r="395" hidden="1" spans="1:44">
      <c r="A395" t="s">
        <v>105</v>
      </c>
      <c r="B395" t="s">
        <v>25</v>
      </c>
      <c r="C395" s="209" t="s">
        <v>26</v>
      </c>
      <c r="D395" s="210">
        <v>71020121061449</v>
      </c>
      <c r="E395" s="211">
        <v>44377</v>
      </c>
      <c r="F395" t="s">
        <v>218</v>
      </c>
      <c r="G395" t="s">
        <v>219</v>
      </c>
      <c r="H395">
        <v>5</v>
      </c>
      <c r="I395" t="s">
        <v>147</v>
      </c>
      <c r="J395" t="s">
        <v>248</v>
      </c>
      <c r="K395" t="s">
        <v>221</v>
      </c>
      <c r="L395">
        <v>2372</v>
      </c>
      <c r="M395" s="211">
        <v>44387</v>
      </c>
      <c r="N395" s="211">
        <v>44402</v>
      </c>
      <c r="O395" s="212" t="s">
        <v>60</v>
      </c>
      <c r="P395" t="s">
        <v>222</v>
      </c>
      <c r="S395">
        <v>0</v>
      </c>
      <c r="T395">
        <v>0</v>
      </c>
      <c r="U395">
        <v>0</v>
      </c>
      <c r="V395">
        <v>0</v>
      </c>
      <c r="W395">
        <v>0</v>
      </c>
      <c r="X395" s="140">
        <v>2372</v>
      </c>
      <c r="Y395" s="209">
        <f t="shared" si="6"/>
        <v>2372</v>
      </c>
      <c r="Z395">
        <v>0</v>
      </c>
      <c r="AE395"/>
      <c r="AF395"/>
      <c r="AG395" t="s">
        <v>223</v>
      </c>
      <c r="AN395" t="s">
        <v>218</v>
      </c>
      <c r="AO395" t="s">
        <v>224</v>
      </c>
      <c r="AP395" t="s">
        <v>225</v>
      </c>
      <c r="AQ395">
        <v>0.13</v>
      </c>
      <c r="AR395" t="s">
        <v>238</v>
      </c>
    </row>
    <row r="396" hidden="1" spans="1:44">
      <c r="A396" t="s">
        <v>105</v>
      </c>
      <c r="B396" t="s">
        <v>25</v>
      </c>
      <c r="C396" s="209" t="s">
        <v>26</v>
      </c>
      <c r="D396" s="210">
        <v>71020121070032</v>
      </c>
      <c r="E396" s="211">
        <v>44378</v>
      </c>
      <c r="F396" t="s">
        <v>218</v>
      </c>
      <c r="G396" t="s">
        <v>219</v>
      </c>
      <c r="H396">
        <v>1</v>
      </c>
      <c r="I396" t="s">
        <v>151</v>
      </c>
      <c r="J396" t="s">
        <v>220</v>
      </c>
      <c r="K396" t="s">
        <v>221</v>
      </c>
      <c r="L396">
        <v>500</v>
      </c>
      <c r="M396" s="211">
        <v>44423</v>
      </c>
      <c r="N396" s="211">
        <v>44423</v>
      </c>
      <c r="O396" s="212" t="s">
        <v>227</v>
      </c>
      <c r="P396" t="s">
        <v>222</v>
      </c>
      <c r="S396">
        <v>0</v>
      </c>
      <c r="T396">
        <v>0</v>
      </c>
      <c r="U396">
        <v>0</v>
      </c>
      <c r="V396">
        <v>0</v>
      </c>
      <c r="W396">
        <v>0</v>
      </c>
      <c r="X396" s="140">
        <v>500</v>
      </c>
      <c r="Y396" s="209">
        <f t="shared" si="6"/>
        <v>500</v>
      </c>
      <c r="Z396">
        <v>0</v>
      </c>
      <c r="AE396"/>
      <c r="AF396"/>
      <c r="AG396" t="s">
        <v>223</v>
      </c>
      <c r="AN396" t="s">
        <v>218</v>
      </c>
      <c r="AO396" t="s">
        <v>224</v>
      </c>
      <c r="AP396" t="s">
        <v>225</v>
      </c>
      <c r="AQ396">
        <v>0.13</v>
      </c>
      <c r="AR396" t="s">
        <v>238</v>
      </c>
    </row>
    <row r="397" hidden="1" spans="1:44">
      <c r="A397" t="s">
        <v>105</v>
      </c>
      <c r="B397" t="s">
        <v>25</v>
      </c>
      <c r="C397" s="209" t="s">
        <v>26</v>
      </c>
      <c r="D397" s="210">
        <v>71020121070032</v>
      </c>
      <c r="E397" s="211">
        <v>44378</v>
      </c>
      <c r="F397" t="s">
        <v>218</v>
      </c>
      <c r="G397" t="s">
        <v>219</v>
      </c>
      <c r="H397">
        <v>2</v>
      </c>
      <c r="I397" t="s">
        <v>151</v>
      </c>
      <c r="J397" t="s">
        <v>220</v>
      </c>
      <c r="K397" t="s">
        <v>221</v>
      </c>
      <c r="L397">
        <v>700</v>
      </c>
      <c r="M397" s="211">
        <v>44432</v>
      </c>
      <c r="N397" s="211">
        <v>44432</v>
      </c>
      <c r="O397" s="212" t="s">
        <v>227</v>
      </c>
      <c r="P397" t="s">
        <v>222</v>
      </c>
      <c r="S397">
        <v>0</v>
      </c>
      <c r="T397">
        <v>0</v>
      </c>
      <c r="U397">
        <v>0</v>
      </c>
      <c r="V397">
        <v>0</v>
      </c>
      <c r="W397">
        <v>0</v>
      </c>
      <c r="X397" s="140">
        <v>700</v>
      </c>
      <c r="Y397" s="209">
        <f t="shared" si="6"/>
        <v>700</v>
      </c>
      <c r="Z397">
        <v>0</v>
      </c>
      <c r="AE397"/>
      <c r="AF397"/>
      <c r="AG397" t="s">
        <v>223</v>
      </c>
      <c r="AN397" t="s">
        <v>218</v>
      </c>
      <c r="AO397" t="s">
        <v>224</v>
      </c>
      <c r="AP397" t="s">
        <v>225</v>
      </c>
      <c r="AQ397">
        <v>0.13</v>
      </c>
      <c r="AR397" t="s">
        <v>238</v>
      </c>
    </row>
    <row r="398" hidden="1" spans="1:44">
      <c r="A398" t="s">
        <v>105</v>
      </c>
      <c r="B398" t="s">
        <v>25</v>
      </c>
      <c r="C398" s="209" t="s">
        <v>26</v>
      </c>
      <c r="D398" s="210">
        <v>71020121070032</v>
      </c>
      <c r="E398" s="211">
        <v>44378</v>
      </c>
      <c r="F398" t="s">
        <v>218</v>
      </c>
      <c r="G398" t="s">
        <v>219</v>
      </c>
      <c r="H398">
        <v>3</v>
      </c>
      <c r="I398" t="s">
        <v>146</v>
      </c>
      <c r="J398" t="s">
        <v>229</v>
      </c>
      <c r="K398" t="s">
        <v>221</v>
      </c>
      <c r="L398">
        <v>5184</v>
      </c>
      <c r="M398" s="211">
        <v>44427</v>
      </c>
      <c r="N398" s="211">
        <v>44427</v>
      </c>
      <c r="O398" s="212" t="s">
        <v>227</v>
      </c>
      <c r="P398" t="s">
        <v>222</v>
      </c>
      <c r="S398">
        <v>0</v>
      </c>
      <c r="T398">
        <v>0</v>
      </c>
      <c r="U398">
        <v>0</v>
      </c>
      <c r="V398">
        <v>0</v>
      </c>
      <c r="W398">
        <v>0</v>
      </c>
      <c r="X398" s="140">
        <v>5184</v>
      </c>
      <c r="Y398" s="209">
        <f t="shared" si="6"/>
        <v>5184</v>
      </c>
      <c r="Z398">
        <v>0</v>
      </c>
      <c r="AE398"/>
      <c r="AF398"/>
      <c r="AG398" t="s">
        <v>223</v>
      </c>
      <c r="AN398" t="s">
        <v>218</v>
      </c>
      <c r="AO398" t="s">
        <v>224</v>
      </c>
      <c r="AP398" t="s">
        <v>225</v>
      </c>
      <c r="AQ398">
        <v>0.13</v>
      </c>
      <c r="AR398" t="s">
        <v>238</v>
      </c>
    </row>
    <row r="399" hidden="1" spans="1:44">
      <c r="A399" t="s">
        <v>105</v>
      </c>
      <c r="B399" t="s">
        <v>25</v>
      </c>
      <c r="C399" s="209" t="s">
        <v>26</v>
      </c>
      <c r="D399" s="210">
        <v>71020121070032</v>
      </c>
      <c r="E399" s="211">
        <v>44378</v>
      </c>
      <c r="F399" t="s">
        <v>218</v>
      </c>
      <c r="G399" t="s">
        <v>219</v>
      </c>
      <c r="H399">
        <v>4</v>
      </c>
      <c r="I399" t="s">
        <v>144</v>
      </c>
      <c r="J399" t="s">
        <v>259</v>
      </c>
      <c r="K399" t="s">
        <v>221</v>
      </c>
      <c r="L399">
        <v>1295</v>
      </c>
      <c r="M399" s="211">
        <v>44389</v>
      </c>
      <c r="N399" s="211">
        <v>44390</v>
      </c>
      <c r="O399" s="212" t="s">
        <v>60</v>
      </c>
      <c r="P399" t="s">
        <v>222</v>
      </c>
      <c r="S399">
        <v>0</v>
      </c>
      <c r="T399">
        <v>0</v>
      </c>
      <c r="U399">
        <v>0</v>
      </c>
      <c r="V399">
        <v>0</v>
      </c>
      <c r="W399">
        <v>0</v>
      </c>
      <c r="X399" s="140">
        <v>1295</v>
      </c>
      <c r="Y399" s="209">
        <f t="shared" si="6"/>
        <v>1295</v>
      </c>
      <c r="Z399">
        <v>0</v>
      </c>
      <c r="AE399"/>
      <c r="AF399"/>
      <c r="AG399" t="s">
        <v>223</v>
      </c>
      <c r="AN399" t="s">
        <v>218</v>
      </c>
      <c r="AO399" t="s">
        <v>224</v>
      </c>
      <c r="AP399" t="s">
        <v>225</v>
      </c>
      <c r="AQ399">
        <v>0.13</v>
      </c>
      <c r="AR399" t="s">
        <v>238</v>
      </c>
    </row>
    <row r="400" hidden="1" spans="1:44">
      <c r="A400" t="s">
        <v>105</v>
      </c>
      <c r="B400" t="s">
        <v>25</v>
      </c>
      <c r="C400" s="209" t="s">
        <v>26</v>
      </c>
      <c r="D400" s="210">
        <v>71020121070032</v>
      </c>
      <c r="E400" s="211">
        <v>44378</v>
      </c>
      <c r="F400" t="s">
        <v>218</v>
      </c>
      <c r="G400" t="s">
        <v>219</v>
      </c>
      <c r="H400">
        <v>6</v>
      </c>
      <c r="I400" t="s">
        <v>144</v>
      </c>
      <c r="J400" t="s">
        <v>259</v>
      </c>
      <c r="K400" t="s">
        <v>221</v>
      </c>
      <c r="L400">
        <v>12733</v>
      </c>
      <c r="M400" s="211">
        <v>44440</v>
      </c>
      <c r="N400" s="211">
        <v>44440</v>
      </c>
      <c r="O400" s="212" t="s">
        <v>241</v>
      </c>
      <c r="P400" t="s">
        <v>222</v>
      </c>
      <c r="S400">
        <v>0</v>
      </c>
      <c r="T400">
        <v>0</v>
      </c>
      <c r="U400">
        <v>0</v>
      </c>
      <c r="V400">
        <v>0</v>
      </c>
      <c r="W400">
        <v>0</v>
      </c>
      <c r="X400" s="140">
        <v>12733</v>
      </c>
      <c r="Y400" s="209">
        <f t="shared" si="6"/>
        <v>12733</v>
      </c>
      <c r="Z400">
        <v>0</v>
      </c>
      <c r="AE400"/>
      <c r="AF400"/>
      <c r="AG400" t="s">
        <v>223</v>
      </c>
      <c r="AN400" t="s">
        <v>218</v>
      </c>
      <c r="AO400" t="s">
        <v>224</v>
      </c>
      <c r="AP400" t="s">
        <v>225</v>
      </c>
      <c r="AQ400">
        <v>0.13</v>
      </c>
      <c r="AR400" t="s">
        <v>238</v>
      </c>
    </row>
    <row r="401" hidden="1" spans="1:44">
      <c r="A401" t="s">
        <v>105</v>
      </c>
      <c r="B401" t="s">
        <v>25</v>
      </c>
      <c r="C401" s="209" t="s">
        <v>26</v>
      </c>
      <c r="D401" s="210">
        <v>71020121070032</v>
      </c>
      <c r="E401" s="211">
        <v>44378</v>
      </c>
      <c r="F401" t="s">
        <v>218</v>
      </c>
      <c r="G401" t="s">
        <v>219</v>
      </c>
      <c r="H401">
        <v>7</v>
      </c>
      <c r="I401" t="s">
        <v>144</v>
      </c>
      <c r="J401" t="s">
        <v>259</v>
      </c>
      <c r="K401" t="s">
        <v>221</v>
      </c>
      <c r="L401">
        <v>12733</v>
      </c>
      <c r="M401" s="211">
        <v>44412</v>
      </c>
      <c r="N401" s="211">
        <v>44390</v>
      </c>
      <c r="O401" s="212" t="s">
        <v>60</v>
      </c>
      <c r="P401" t="s">
        <v>222</v>
      </c>
      <c r="S401">
        <v>10748</v>
      </c>
      <c r="T401">
        <v>10748</v>
      </c>
      <c r="U401">
        <v>0</v>
      </c>
      <c r="V401">
        <v>10748</v>
      </c>
      <c r="W401">
        <v>0</v>
      </c>
      <c r="X401" s="140">
        <v>1985</v>
      </c>
      <c r="Y401" s="209">
        <f t="shared" si="6"/>
        <v>1985</v>
      </c>
      <c r="Z401">
        <v>0</v>
      </c>
      <c r="AE401">
        <v>44391</v>
      </c>
      <c r="AF401">
        <v>44391</v>
      </c>
      <c r="AG401" t="s">
        <v>223</v>
      </c>
      <c r="AN401" t="s">
        <v>218</v>
      </c>
      <c r="AO401" t="s">
        <v>224</v>
      </c>
      <c r="AP401" t="s">
        <v>225</v>
      </c>
      <c r="AQ401">
        <v>0.13</v>
      </c>
      <c r="AR401" t="s">
        <v>238</v>
      </c>
    </row>
    <row r="402" hidden="1" spans="1:44">
      <c r="A402" t="s">
        <v>105</v>
      </c>
      <c r="B402" t="s">
        <v>25</v>
      </c>
      <c r="C402" s="209" t="s">
        <v>26</v>
      </c>
      <c r="D402" s="210">
        <v>71020121070032</v>
      </c>
      <c r="E402" s="211">
        <v>44378</v>
      </c>
      <c r="F402" t="s">
        <v>218</v>
      </c>
      <c r="G402" t="s">
        <v>219</v>
      </c>
      <c r="H402">
        <v>8</v>
      </c>
      <c r="I402" t="s">
        <v>143</v>
      </c>
      <c r="J402" t="s">
        <v>258</v>
      </c>
      <c r="K402" t="s">
        <v>221</v>
      </c>
      <c r="L402">
        <v>8200</v>
      </c>
      <c r="M402" s="211">
        <v>44399</v>
      </c>
      <c r="N402" s="211">
        <v>44406</v>
      </c>
      <c r="O402" s="212" t="s">
        <v>60</v>
      </c>
      <c r="P402" t="s">
        <v>222</v>
      </c>
      <c r="S402">
        <v>0</v>
      </c>
      <c r="T402">
        <v>0</v>
      </c>
      <c r="U402">
        <v>0</v>
      </c>
      <c r="V402">
        <v>0</v>
      </c>
      <c r="W402">
        <v>0</v>
      </c>
      <c r="X402" s="140">
        <v>8200</v>
      </c>
      <c r="Y402" s="209">
        <f t="shared" si="6"/>
        <v>8200</v>
      </c>
      <c r="Z402">
        <v>0</v>
      </c>
      <c r="AE402"/>
      <c r="AF402"/>
      <c r="AG402" t="s">
        <v>223</v>
      </c>
      <c r="AN402" t="s">
        <v>218</v>
      </c>
      <c r="AO402" t="s">
        <v>224</v>
      </c>
      <c r="AP402" t="s">
        <v>225</v>
      </c>
      <c r="AQ402">
        <v>0.13</v>
      </c>
      <c r="AR402" t="s">
        <v>238</v>
      </c>
    </row>
    <row r="403" hidden="1" spans="1:44">
      <c r="A403" t="s">
        <v>105</v>
      </c>
      <c r="B403" t="s">
        <v>25</v>
      </c>
      <c r="C403" s="209" t="s">
        <v>26</v>
      </c>
      <c r="D403" s="210">
        <v>71020121070032</v>
      </c>
      <c r="E403" s="211">
        <v>44378</v>
      </c>
      <c r="F403" t="s">
        <v>218</v>
      </c>
      <c r="G403" t="s">
        <v>219</v>
      </c>
      <c r="H403">
        <v>9</v>
      </c>
      <c r="I403" t="s">
        <v>143</v>
      </c>
      <c r="J403" t="s">
        <v>258</v>
      </c>
      <c r="K403" t="s">
        <v>221</v>
      </c>
      <c r="L403">
        <v>10800</v>
      </c>
      <c r="M403" s="211">
        <v>44435</v>
      </c>
      <c r="N403" s="211">
        <v>44435</v>
      </c>
      <c r="O403" s="212" t="s">
        <v>227</v>
      </c>
      <c r="P403" t="s">
        <v>222</v>
      </c>
      <c r="S403">
        <v>0</v>
      </c>
      <c r="T403">
        <v>0</v>
      </c>
      <c r="U403">
        <v>0</v>
      </c>
      <c r="V403">
        <v>0</v>
      </c>
      <c r="W403">
        <v>0</v>
      </c>
      <c r="X403" s="140">
        <v>10800</v>
      </c>
      <c r="Y403" s="209">
        <f t="shared" si="6"/>
        <v>10800</v>
      </c>
      <c r="Z403">
        <v>0</v>
      </c>
      <c r="AE403"/>
      <c r="AF403"/>
      <c r="AG403" t="s">
        <v>223</v>
      </c>
      <c r="AN403" t="s">
        <v>218</v>
      </c>
      <c r="AO403" t="s">
        <v>224</v>
      </c>
      <c r="AP403" t="s">
        <v>225</v>
      </c>
      <c r="AQ403">
        <v>0.13</v>
      </c>
      <c r="AR403" t="s">
        <v>238</v>
      </c>
    </row>
    <row r="404" hidden="1" spans="1:44">
      <c r="A404" t="s">
        <v>105</v>
      </c>
      <c r="B404" t="s">
        <v>25</v>
      </c>
      <c r="C404" s="209" t="s">
        <v>26</v>
      </c>
      <c r="D404" s="210">
        <v>71020121070032</v>
      </c>
      <c r="E404" s="211">
        <v>44378</v>
      </c>
      <c r="F404" t="s">
        <v>218</v>
      </c>
      <c r="G404" t="s">
        <v>219</v>
      </c>
      <c r="H404">
        <v>10</v>
      </c>
      <c r="I404" t="s">
        <v>149</v>
      </c>
      <c r="J404" t="s">
        <v>229</v>
      </c>
      <c r="K404" t="s">
        <v>221</v>
      </c>
      <c r="L404">
        <v>3050</v>
      </c>
      <c r="M404" s="211">
        <v>44427</v>
      </c>
      <c r="N404" s="211">
        <v>44427</v>
      </c>
      <c r="O404" s="212" t="s">
        <v>227</v>
      </c>
      <c r="P404" t="s">
        <v>222</v>
      </c>
      <c r="S404">
        <v>0</v>
      </c>
      <c r="T404">
        <v>0</v>
      </c>
      <c r="U404">
        <v>0</v>
      </c>
      <c r="V404">
        <v>0</v>
      </c>
      <c r="W404">
        <v>0</v>
      </c>
      <c r="X404" s="140">
        <v>3050</v>
      </c>
      <c r="Y404" s="209">
        <f t="shared" si="6"/>
        <v>3050</v>
      </c>
      <c r="Z404">
        <v>0</v>
      </c>
      <c r="AE404"/>
      <c r="AF404"/>
      <c r="AG404" t="s">
        <v>223</v>
      </c>
      <c r="AN404" t="s">
        <v>218</v>
      </c>
      <c r="AO404" t="s">
        <v>224</v>
      </c>
      <c r="AP404" t="s">
        <v>225</v>
      </c>
      <c r="AQ404">
        <v>0.13</v>
      </c>
      <c r="AR404" t="s">
        <v>238</v>
      </c>
    </row>
    <row r="405" hidden="1" spans="1:44">
      <c r="A405" t="s">
        <v>105</v>
      </c>
      <c r="B405" t="s">
        <v>25</v>
      </c>
      <c r="C405" s="209" t="s">
        <v>26</v>
      </c>
      <c r="D405" s="210">
        <v>71020121070032</v>
      </c>
      <c r="E405" s="211">
        <v>44378</v>
      </c>
      <c r="F405" t="s">
        <v>218</v>
      </c>
      <c r="G405" t="s">
        <v>219</v>
      </c>
      <c r="H405">
        <v>11</v>
      </c>
      <c r="I405" t="s">
        <v>153</v>
      </c>
      <c r="J405" t="s">
        <v>220</v>
      </c>
      <c r="K405" t="s">
        <v>221</v>
      </c>
      <c r="L405">
        <v>1106</v>
      </c>
      <c r="M405" s="211">
        <v>44400</v>
      </c>
      <c r="N405" s="211">
        <v>44404</v>
      </c>
      <c r="O405" s="212" t="s">
        <v>60</v>
      </c>
      <c r="P405" t="s">
        <v>222</v>
      </c>
      <c r="S405">
        <v>0</v>
      </c>
      <c r="T405">
        <v>0</v>
      </c>
      <c r="U405">
        <v>0</v>
      </c>
      <c r="V405">
        <v>0</v>
      </c>
      <c r="W405">
        <v>0</v>
      </c>
      <c r="X405" s="140">
        <v>1106</v>
      </c>
      <c r="Y405" s="209">
        <f t="shared" si="6"/>
        <v>1106</v>
      </c>
      <c r="Z405">
        <v>0</v>
      </c>
      <c r="AE405"/>
      <c r="AF405"/>
      <c r="AG405" t="s">
        <v>223</v>
      </c>
      <c r="AN405" t="s">
        <v>218</v>
      </c>
      <c r="AO405" t="s">
        <v>224</v>
      </c>
      <c r="AP405" t="s">
        <v>225</v>
      </c>
      <c r="AQ405">
        <v>0.13</v>
      </c>
      <c r="AR405" t="s">
        <v>238</v>
      </c>
    </row>
    <row r="406" hidden="1" spans="1:44">
      <c r="A406" t="s">
        <v>105</v>
      </c>
      <c r="B406" t="s">
        <v>25</v>
      </c>
      <c r="C406" s="209" t="s">
        <v>26</v>
      </c>
      <c r="D406" s="210">
        <v>71020121070032</v>
      </c>
      <c r="E406" s="211">
        <v>44378</v>
      </c>
      <c r="F406" t="s">
        <v>218</v>
      </c>
      <c r="G406" t="s">
        <v>219</v>
      </c>
      <c r="H406">
        <v>12</v>
      </c>
      <c r="I406" t="s">
        <v>153</v>
      </c>
      <c r="J406" t="s">
        <v>220</v>
      </c>
      <c r="K406" t="s">
        <v>221</v>
      </c>
      <c r="L406">
        <v>1106</v>
      </c>
      <c r="M406" s="211">
        <v>44407</v>
      </c>
      <c r="N406" s="211">
        <v>44407</v>
      </c>
      <c r="O406" s="212" t="s">
        <v>60</v>
      </c>
      <c r="P406" t="s">
        <v>222</v>
      </c>
      <c r="S406">
        <v>0</v>
      </c>
      <c r="T406">
        <v>0</v>
      </c>
      <c r="U406">
        <v>0</v>
      </c>
      <c r="V406">
        <v>0</v>
      </c>
      <c r="W406">
        <v>0</v>
      </c>
      <c r="X406" s="140">
        <v>1106</v>
      </c>
      <c r="Y406" s="209">
        <f t="shared" si="6"/>
        <v>1106</v>
      </c>
      <c r="Z406">
        <v>0</v>
      </c>
      <c r="AE406"/>
      <c r="AF406"/>
      <c r="AG406" t="s">
        <v>223</v>
      </c>
      <c r="AN406" t="s">
        <v>218</v>
      </c>
      <c r="AO406" t="s">
        <v>224</v>
      </c>
      <c r="AP406" t="s">
        <v>225</v>
      </c>
      <c r="AQ406">
        <v>0.13</v>
      </c>
      <c r="AR406" t="s">
        <v>238</v>
      </c>
    </row>
    <row r="407" hidden="1" spans="1:44">
      <c r="A407" t="s">
        <v>105</v>
      </c>
      <c r="B407" t="s">
        <v>25</v>
      </c>
      <c r="C407" s="209" t="s">
        <v>26</v>
      </c>
      <c r="D407" s="210">
        <v>71020121070337</v>
      </c>
      <c r="E407" s="211">
        <v>44384</v>
      </c>
      <c r="F407" t="s">
        <v>218</v>
      </c>
      <c r="G407" t="s">
        <v>219</v>
      </c>
      <c r="H407">
        <v>1</v>
      </c>
      <c r="I407" t="s">
        <v>141</v>
      </c>
      <c r="J407" t="s">
        <v>248</v>
      </c>
      <c r="K407" t="s">
        <v>221</v>
      </c>
      <c r="L407">
        <v>10000</v>
      </c>
      <c r="M407" s="211">
        <v>44389</v>
      </c>
      <c r="N407" s="211">
        <v>44410</v>
      </c>
      <c r="O407" s="212" t="s">
        <v>227</v>
      </c>
      <c r="P407" t="s">
        <v>222</v>
      </c>
      <c r="S407">
        <v>0</v>
      </c>
      <c r="T407">
        <v>0</v>
      </c>
      <c r="U407">
        <v>0</v>
      </c>
      <c r="V407">
        <v>0</v>
      </c>
      <c r="W407">
        <v>0</v>
      </c>
      <c r="X407" s="140">
        <v>10000</v>
      </c>
      <c r="Y407" s="209">
        <f t="shared" si="6"/>
        <v>10000</v>
      </c>
      <c r="Z407">
        <v>0</v>
      </c>
      <c r="AE407"/>
      <c r="AF407"/>
      <c r="AG407" t="s">
        <v>223</v>
      </c>
      <c r="AN407" t="s">
        <v>218</v>
      </c>
      <c r="AO407" t="s">
        <v>224</v>
      </c>
      <c r="AP407" t="s">
        <v>225</v>
      </c>
      <c r="AQ407">
        <v>0.13</v>
      </c>
      <c r="AR407" t="s">
        <v>238</v>
      </c>
    </row>
    <row r="408" hidden="1" spans="1:44">
      <c r="A408" t="s">
        <v>105</v>
      </c>
      <c r="B408" t="s">
        <v>25</v>
      </c>
      <c r="C408" s="209" t="s">
        <v>26</v>
      </c>
      <c r="D408" s="210">
        <v>71020121070337</v>
      </c>
      <c r="E408" s="211">
        <v>44384</v>
      </c>
      <c r="F408" t="s">
        <v>218</v>
      </c>
      <c r="G408" t="s">
        <v>219</v>
      </c>
      <c r="H408">
        <v>2</v>
      </c>
      <c r="I408" t="s">
        <v>141</v>
      </c>
      <c r="J408" t="s">
        <v>248</v>
      </c>
      <c r="K408" t="s">
        <v>221</v>
      </c>
      <c r="L408">
        <v>10000</v>
      </c>
      <c r="M408" s="211">
        <v>44435</v>
      </c>
      <c r="N408" s="211">
        <v>44435</v>
      </c>
      <c r="O408" s="212" t="s">
        <v>227</v>
      </c>
      <c r="P408" t="s">
        <v>222</v>
      </c>
      <c r="S408">
        <v>0</v>
      </c>
      <c r="T408">
        <v>0</v>
      </c>
      <c r="U408">
        <v>0</v>
      </c>
      <c r="V408">
        <v>0</v>
      </c>
      <c r="W408">
        <v>0</v>
      </c>
      <c r="X408" s="140">
        <v>10000</v>
      </c>
      <c r="Y408" s="209">
        <f t="shared" si="6"/>
        <v>10000</v>
      </c>
      <c r="Z408">
        <v>0</v>
      </c>
      <c r="AE408"/>
      <c r="AF408"/>
      <c r="AG408" t="s">
        <v>223</v>
      </c>
      <c r="AN408" t="s">
        <v>218</v>
      </c>
      <c r="AO408" t="s">
        <v>224</v>
      </c>
      <c r="AP408" t="s">
        <v>225</v>
      </c>
      <c r="AQ408">
        <v>0.13</v>
      </c>
      <c r="AR408" t="s">
        <v>238</v>
      </c>
    </row>
    <row r="409" hidden="1" spans="1:44">
      <c r="A409" t="s">
        <v>105</v>
      </c>
      <c r="B409" t="s">
        <v>25</v>
      </c>
      <c r="C409" s="209" t="s">
        <v>26</v>
      </c>
      <c r="D409" s="210">
        <v>71020121070337</v>
      </c>
      <c r="E409" s="211">
        <v>44384</v>
      </c>
      <c r="F409" t="s">
        <v>218</v>
      </c>
      <c r="G409" t="s">
        <v>219</v>
      </c>
      <c r="H409">
        <v>3</v>
      </c>
      <c r="I409" t="s">
        <v>141</v>
      </c>
      <c r="J409" t="s">
        <v>248</v>
      </c>
      <c r="K409" t="s">
        <v>221</v>
      </c>
      <c r="L409">
        <v>16000</v>
      </c>
      <c r="M409" s="211">
        <v>44397</v>
      </c>
      <c r="N409" s="211">
        <v>44410</v>
      </c>
      <c r="O409" s="212" t="s">
        <v>227</v>
      </c>
      <c r="P409" t="s">
        <v>222</v>
      </c>
      <c r="S409">
        <v>0</v>
      </c>
      <c r="T409">
        <v>0</v>
      </c>
      <c r="U409">
        <v>0</v>
      </c>
      <c r="V409">
        <v>0</v>
      </c>
      <c r="W409">
        <v>0</v>
      </c>
      <c r="X409" s="140">
        <v>16000</v>
      </c>
      <c r="Y409" s="209">
        <f t="shared" si="6"/>
        <v>16000</v>
      </c>
      <c r="Z409">
        <v>0</v>
      </c>
      <c r="AE409"/>
      <c r="AF409"/>
      <c r="AG409" t="s">
        <v>223</v>
      </c>
      <c r="AN409" t="s">
        <v>218</v>
      </c>
      <c r="AO409" t="s">
        <v>224</v>
      </c>
      <c r="AP409" t="s">
        <v>225</v>
      </c>
      <c r="AQ409">
        <v>0.13</v>
      </c>
      <c r="AR409" t="s">
        <v>238</v>
      </c>
    </row>
    <row r="410" hidden="1" spans="1:44">
      <c r="A410" t="s">
        <v>105</v>
      </c>
      <c r="B410" t="s">
        <v>25</v>
      </c>
      <c r="C410" s="209" t="s">
        <v>26</v>
      </c>
      <c r="D410" s="210">
        <v>71020121070337</v>
      </c>
      <c r="E410" s="211">
        <v>44384</v>
      </c>
      <c r="F410" t="s">
        <v>218</v>
      </c>
      <c r="G410" t="s">
        <v>219</v>
      </c>
      <c r="H410">
        <v>4</v>
      </c>
      <c r="I410" t="s">
        <v>141</v>
      </c>
      <c r="J410" t="s">
        <v>248</v>
      </c>
      <c r="K410" t="s">
        <v>221</v>
      </c>
      <c r="L410">
        <v>57000</v>
      </c>
      <c r="M410" s="211">
        <v>44404</v>
      </c>
      <c r="N410" s="211">
        <v>44410</v>
      </c>
      <c r="O410" s="212" t="s">
        <v>227</v>
      </c>
      <c r="P410" t="s">
        <v>222</v>
      </c>
      <c r="S410">
        <v>0</v>
      </c>
      <c r="T410">
        <v>0</v>
      </c>
      <c r="U410">
        <v>0</v>
      </c>
      <c r="V410">
        <v>0</v>
      </c>
      <c r="W410">
        <v>0</v>
      </c>
      <c r="X410" s="140">
        <v>57000</v>
      </c>
      <c r="Y410" s="209">
        <f t="shared" si="6"/>
        <v>57000</v>
      </c>
      <c r="Z410">
        <v>0</v>
      </c>
      <c r="AE410"/>
      <c r="AF410"/>
      <c r="AG410" t="s">
        <v>223</v>
      </c>
      <c r="AN410" t="s">
        <v>218</v>
      </c>
      <c r="AO410" t="s">
        <v>224</v>
      </c>
      <c r="AP410" t="s">
        <v>225</v>
      </c>
      <c r="AQ410">
        <v>0.13</v>
      </c>
      <c r="AR410" t="s">
        <v>238</v>
      </c>
    </row>
    <row r="411" hidden="1" spans="1:44">
      <c r="A411" t="s">
        <v>105</v>
      </c>
      <c r="B411" t="s">
        <v>25</v>
      </c>
      <c r="C411" s="209" t="s">
        <v>26</v>
      </c>
      <c r="D411" s="210">
        <v>71020121070337</v>
      </c>
      <c r="E411" s="211">
        <v>44384</v>
      </c>
      <c r="F411" t="s">
        <v>218</v>
      </c>
      <c r="G411" t="s">
        <v>219</v>
      </c>
      <c r="H411">
        <v>5</v>
      </c>
      <c r="I411" t="s">
        <v>141</v>
      </c>
      <c r="J411" t="s">
        <v>248</v>
      </c>
      <c r="K411" t="s">
        <v>221</v>
      </c>
      <c r="L411">
        <v>38000</v>
      </c>
      <c r="M411" s="211">
        <v>44425</v>
      </c>
      <c r="N411" s="211">
        <v>44425</v>
      </c>
      <c r="O411" s="212" t="s">
        <v>227</v>
      </c>
      <c r="P411" t="s">
        <v>222</v>
      </c>
      <c r="S411">
        <v>0</v>
      </c>
      <c r="T411">
        <v>0</v>
      </c>
      <c r="U411">
        <v>0</v>
      </c>
      <c r="V411">
        <v>0</v>
      </c>
      <c r="W411">
        <v>0</v>
      </c>
      <c r="X411" s="140">
        <v>38000</v>
      </c>
      <c r="Y411" s="209">
        <f t="shared" si="6"/>
        <v>38000</v>
      </c>
      <c r="Z411">
        <v>0</v>
      </c>
      <c r="AE411"/>
      <c r="AF411"/>
      <c r="AG411" t="s">
        <v>223</v>
      </c>
      <c r="AN411" t="s">
        <v>218</v>
      </c>
      <c r="AO411" t="s">
        <v>224</v>
      </c>
      <c r="AP411" t="s">
        <v>225</v>
      </c>
      <c r="AQ411">
        <v>0.13</v>
      </c>
      <c r="AR411" t="s">
        <v>238</v>
      </c>
    </row>
    <row r="412" hidden="1" spans="1:44">
      <c r="A412" t="s">
        <v>105</v>
      </c>
      <c r="B412" t="s">
        <v>25</v>
      </c>
      <c r="C412" s="209" t="s">
        <v>26</v>
      </c>
      <c r="D412" s="210">
        <v>71020121070337</v>
      </c>
      <c r="E412" s="211">
        <v>44384</v>
      </c>
      <c r="F412" t="s">
        <v>218</v>
      </c>
      <c r="G412" t="s">
        <v>219</v>
      </c>
      <c r="H412">
        <v>6</v>
      </c>
      <c r="I412" t="s">
        <v>141</v>
      </c>
      <c r="J412" t="s">
        <v>248</v>
      </c>
      <c r="K412" t="s">
        <v>221</v>
      </c>
      <c r="L412">
        <v>19000</v>
      </c>
      <c r="M412" s="211">
        <v>44438</v>
      </c>
      <c r="N412" s="211">
        <v>44438</v>
      </c>
      <c r="O412" s="212" t="s">
        <v>227</v>
      </c>
      <c r="P412" t="s">
        <v>222</v>
      </c>
      <c r="S412">
        <v>0</v>
      </c>
      <c r="T412">
        <v>0</v>
      </c>
      <c r="U412">
        <v>0</v>
      </c>
      <c r="V412">
        <v>0</v>
      </c>
      <c r="W412">
        <v>0</v>
      </c>
      <c r="X412" s="140">
        <v>19000</v>
      </c>
      <c r="Y412" s="209">
        <f t="shared" si="6"/>
        <v>19000</v>
      </c>
      <c r="Z412">
        <v>0</v>
      </c>
      <c r="AE412"/>
      <c r="AF412"/>
      <c r="AG412" t="s">
        <v>223</v>
      </c>
      <c r="AN412" t="s">
        <v>218</v>
      </c>
      <c r="AO412" t="s">
        <v>224</v>
      </c>
      <c r="AP412" t="s">
        <v>225</v>
      </c>
      <c r="AQ412">
        <v>0.13</v>
      </c>
      <c r="AR412" t="s">
        <v>238</v>
      </c>
    </row>
    <row r="413" hidden="1" spans="1:44">
      <c r="A413" t="s">
        <v>105</v>
      </c>
      <c r="B413" t="s">
        <v>25</v>
      </c>
      <c r="C413" s="209" t="s">
        <v>26</v>
      </c>
      <c r="D413" s="210">
        <v>71020121070346</v>
      </c>
      <c r="E413" s="211">
        <v>44384</v>
      </c>
      <c r="F413" t="s">
        <v>218</v>
      </c>
      <c r="G413" t="s">
        <v>219</v>
      </c>
      <c r="H413">
        <v>1</v>
      </c>
      <c r="I413" t="s">
        <v>157</v>
      </c>
      <c r="J413" t="s">
        <v>257</v>
      </c>
      <c r="K413" t="s">
        <v>221</v>
      </c>
      <c r="L413">
        <v>50000</v>
      </c>
      <c r="M413" s="211">
        <v>44413</v>
      </c>
      <c r="N413" s="211">
        <v>44413</v>
      </c>
      <c r="O413" s="212" t="s">
        <v>227</v>
      </c>
      <c r="P413" t="s">
        <v>222</v>
      </c>
      <c r="S413">
        <v>0</v>
      </c>
      <c r="T413">
        <v>0</v>
      </c>
      <c r="U413">
        <v>0</v>
      </c>
      <c r="V413">
        <v>0</v>
      </c>
      <c r="W413">
        <v>0</v>
      </c>
      <c r="X413" s="140">
        <v>50000</v>
      </c>
      <c r="Y413" s="209">
        <f t="shared" si="6"/>
        <v>50000</v>
      </c>
      <c r="Z413">
        <v>0</v>
      </c>
      <c r="AE413"/>
      <c r="AF413"/>
      <c r="AG413" t="s">
        <v>223</v>
      </c>
      <c r="AN413" t="s">
        <v>218</v>
      </c>
      <c r="AO413" t="s">
        <v>224</v>
      </c>
      <c r="AP413" t="s">
        <v>225</v>
      </c>
      <c r="AQ413">
        <v>0.13</v>
      </c>
      <c r="AR413" t="s">
        <v>226</v>
      </c>
    </row>
    <row r="414" hidden="1" spans="1:44">
      <c r="A414" t="s">
        <v>105</v>
      </c>
      <c r="B414" t="s">
        <v>25</v>
      </c>
      <c r="C414" s="209" t="s">
        <v>26</v>
      </c>
      <c r="D414" s="210">
        <v>71020121070346</v>
      </c>
      <c r="E414" s="211">
        <v>44384</v>
      </c>
      <c r="F414" t="s">
        <v>218</v>
      </c>
      <c r="G414" t="s">
        <v>219</v>
      </c>
      <c r="H414">
        <v>2</v>
      </c>
      <c r="I414" t="s">
        <v>155</v>
      </c>
      <c r="J414" t="s">
        <v>220</v>
      </c>
      <c r="K414" t="s">
        <v>221</v>
      </c>
      <c r="L414">
        <v>600</v>
      </c>
      <c r="M414" s="211">
        <v>44428</v>
      </c>
      <c r="N414" s="211">
        <v>44428</v>
      </c>
      <c r="O414" s="212" t="s">
        <v>227</v>
      </c>
      <c r="P414" t="s">
        <v>222</v>
      </c>
      <c r="S414">
        <v>0</v>
      </c>
      <c r="T414">
        <v>0</v>
      </c>
      <c r="U414">
        <v>0</v>
      </c>
      <c r="V414">
        <v>0</v>
      </c>
      <c r="W414">
        <v>0</v>
      </c>
      <c r="X414" s="140">
        <v>600</v>
      </c>
      <c r="Y414" s="209">
        <f t="shared" si="6"/>
        <v>600</v>
      </c>
      <c r="Z414">
        <v>0</v>
      </c>
      <c r="AE414"/>
      <c r="AF414"/>
      <c r="AG414" t="s">
        <v>223</v>
      </c>
      <c r="AN414" t="s">
        <v>218</v>
      </c>
      <c r="AO414" t="s">
        <v>224</v>
      </c>
      <c r="AP414" t="s">
        <v>225</v>
      </c>
      <c r="AQ414">
        <v>0.13</v>
      </c>
      <c r="AR414" t="s">
        <v>226</v>
      </c>
    </row>
    <row r="415" hidden="1" spans="1:44">
      <c r="A415" t="s">
        <v>105</v>
      </c>
      <c r="B415" t="s">
        <v>25</v>
      </c>
      <c r="C415" s="209" t="s">
        <v>26</v>
      </c>
      <c r="D415" s="210">
        <v>71020121070346</v>
      </c>
      <c r="E415" s="211">
        <v>44384</v>
      </c>
      <c r="F415" t="s">
        <v>218</v>
      </c>
      <c r="G415" t="s">
        <v>219</v>
      </c>
      <c r="H415">
        <v>3</v>
      </c>
      <c r="I415" t="s">
        <v>146</v>
      </c>
      <c r="J415" t="s">
        <v>229</v>
      </c>
      <c r="K415" t="s">
        <v>221</v>
      </c>
      <c r="L415">
        <v>1900</v>
      </c>
      <c r="M415" s="211">
        <v>44411</v>
      </c>
      <c r="N415" s="211">
        <v>44411</v>
      </c>
      <c r="O415" s="212" t="s">
        <v>227</v>
      </c>
      <c r="P415" t="s">
        <v>222</v>
      </c>
      <c r="S415">
        <v>0</v>
      </c>
      <c r="T415">
        <v>0</v>
      </c>
      <c r="U415">
        <v>0</v>
      </c>
      <c r="V415">
        <v>0</v>
      </c>
      <c r="W415">
        <v>0</v>
      </c>
      <c r="X415" s="140">
        <v>1900</v>
      </c>
      <c r="Y415" s="209">
        <f t="shared" si="6"/>
        <v>1900</v>
      </c>
      <c r="Z415">
        <v>0</v>
      </c>
      <c r="AE415"/>
      <c r="AF415"/>
      <c r="AG415" t="s">
        <v>223</v>
      </c>
      <c r="AN415" t="s">
        <v>218</v>
      </c>
      <c r="AO415" t="s">
        <v>224</v>
      </c>
      <c r="AP415" t="s">
        <v>225</v>
      </c>
      <c r="AQ415">
        <v>0.13</v>
      </c>
      <c r="AR415" t="s">
        <v>226</v>
      </c>
    </row>
    <row r="416" hidden="1" spans="1:44">
      <c r="A416" t="s">
        <v>105</v>
      </c>
      <c r="B416" t="s">
        <v>25</v>
      </c>
      <c r="C416" s="209" t="s">
        <v>26</v>
      </c>
      <c r="D416" s="210">
        <v>71020121070346</v>
      </c>
      <c r="E416" s="211">
        <v>44384</v>
      </c>
      <c r="F416" t="s">
        <v>218</v>
      </c>
      <c r="G416" t="s">
        <v>219</v>
      </c>
      <c r="H416">
        <v>4</v>
      </c>
      <c r="I416" t="s">
        <v>146</v>
      </c>
      <c r="J416" t="s">
        <v>229</v>
      </c>
      <c r="K416" t="s">
        <v>221</v>
      </c>
      <c r="L416">
        <v>17600</v>
      </c>
      <c r="M416" s="211">
        <v>44419</v>
      </c>
      <c r="N416" s="211">
        <v>44419</v>
      </c>
      <c r="O416" s="212" t="s">
        <v>227</v>
      </c>
      <c r="P416" t="s">
        <v>222</v>
      </c>
      <c r="S416">
        <v>0</v>
      </c>
      <c r="T416">
        <v>0</v>
      </c>
      <c r="U416">
        <v>0</v>
      </c>
      <c r="V416">
        <v>0</v>
      </c>
      <c r="W416">
        <v>0</v>
      </c>
      <c r="X416" s="140">
        <v>17600</v>
      </c>
      <c r="Y416" s="209">
        <f t="shared" si="6"/>
        <v>17600</v>
      </c>
      <c r="Z416">
        <v>0</v>
      </c>
      <c r="AE416"/>
      <c r="AF416"/>
      <c r="AG416" t="s">
        <v>223</v>
      </c>
      <c r="AN416" t="s">
        <v>218</v>
      </c>
      <c r="AO416" t="s">
        <v>224</v>
      </c>
      <c r="AP416" t="s">
        <v>225</v>
      </c>
      <c r="AQ416">
        <v>0.13</v>
      </c>
      <c r="AR416" t="s">
        <v>226</v>
      </c>
    </row>
    <row r="417" hidden="1" spans="1:44">
      <c r="A417" t="s">
        <v>105</v>
      </c>
      <c r="B417" t="s">
        <v>25</v>
      </c>
      <c r="C417" s="209" t="s">
        <v>26</v>
      </c>
      <c r="D417" s="210">
        <v>71020121070346</v>
      </c>
      <c r="E417" s="211">
        <v>44384</v>
      </c>
      <c r="F417" t="s">
        <v>218</v>
      </c>
      <c r="G417" t="s">
        <v>219</v>
      </c>
      <c r="H417">
        <v>5</v>
      </c>
      <c r="I417" t="s">
        <v>144</v>
      </c>
      <c r="J417" t="s">
        <v>259</v>
      </c>
      <c r="K417" t="s">
        <v>221</v>
      </c>
      <c r="L417">
        <v>10000</v>
      </c>
      <c r="M417" s="211">
        <v>44421</v>
      </c>
      <c r="N417" s="211">
        <v>44421</v>
      </c>
      <c r="O417" s="212" t="s">
        <v>227</v>
      </c>
      <c r="P417" t="s">
        <v>222</v>
      </c>
      <c r="S417">
        <v>0</v>
      </c>
      <c r="T417">
        <v>0</v>
      </c>
      <c r="U417">
        <v>0</v>
      </c>
      <c r="V417">
        <v>0</v>
      </c>
      <c r="W417">
        <v>0</v>
      </c>
      <c r="X417" s="140">
        <v>10000</v>
      </c>
      <c r="Y417" s="209">
        <f t="shared" si="6"/>
        <v>10000</v>
      </c>
      <c r="Z417">
        <v>0</v>
      </c>
      <c r="AE417"/>
      <c r="AF417"/>
      <c r="AG417" t="s">
        <v>223</v>
      </c>
      <c r="AN417" t="s">
        <v>218</v>
      </c>
      <c r="AO417" t="s">
        <v>224</v>
      </c>
      <c r="AP417" t="s">
        <v>225</v>
      </c>
      <c r="AQ417">
        <v>0.13</v>
      </c>
      <c r="AR417" t="s">
        <v>226</v>
      </c>
    </row>
    <row r="418" hidden="1" spans="1:44">
      <c r="A418" t="s">
        <v>105</v>
      </c>
      <c r="B418" t="s">
        <v>25</v>
      </c>
      <c r="C418" s="209" t="s">
        <v>26</v>
      </c>
      <c r="D418" s="210">
        <v>71020121070346</v>
      </c>
      <c r="E418" s="211">
        <v>44384</v>
      </c>
      <c r="F418" t="s">
        <v>218</v>
      </c>
      <c r="G418" t="s">
        <v>219</v>
      </c>
      <c r="H418">
        <v>6</v>
      </c>
      <c r="I418" t="s">
        <v>144</v>
      </c>
      <c r="J418" t="s">
        <v>259</v>
      </c>
      <c r="K418" t="s">
        <v>221</v>
      </c>
      <c r="L418">
        <v>10000</v>
      </c>
      <c r="M418" s="211">
        <v>44431</v>
      </c>
      <c r="N418" s="211">
        <v>44431</v>
      </c>
      <c r="O418" s="212" t="s">
        <v>227</v>
      </c>
      <c r="P418" t="s">
        <v>222</v>
      </c>
      <c r="S418">
        <v>0</v>
      </c>
      <c r="T418">
        <v>0</v>
      </c>
      <c r="U418">
        <v>0</v>
      </c>
      <c r="V418">
        <v>0</v>
      </c>
      <c r="W418">
        <v>0</v>
      </c>
      <c r="X418" s="140">
        <v>10000</v>
      </c>
      <c r="Y418" s="209">
        <f t="shared" si="6"/>
        <v>10000</v>
      </c>
      <c r="Z418">
        <v>0</v>
      </c>
      <c r="AE418"/>
      <c r="AF418"/>
      <c r="AG418" t="s">
        <v>223</v>
      </c>
      <c r="AN418" t="s">
        <v>218</v>
      </c>
      <c r="AO418" t="s">
        <v>224</v>
      </c>
      <c r="AP418" t="s">
        <v>225</v>
      </c>
      <c r="AQ418">
        <v>0.13</v>
      </c>
      <c r="AR418" t="s">
        <v>226</v>
      </c>
    </row>
    <row r="419" hidden="1" spans="1:44">
      <c r="A419" t="s">
        <v>105</v>
      </c>
      <c r="B419" t="s">
        <v>25</v>
      </c>
      <c r="C419" s="209" t="s">
        <v>26</v>
      </c>
      <c r="D419" s="210">
        <v>71020121070346</v>
      </c>
      <c r="E419" s="211">
        <v>44384</v>
      </c>
      <c r="F419" t="s">
        <v>218</v>
      </c>
      <c r="G419" t="s">
        <v>219</v>
      </c>
      <c r="H419">
        <v>7</v>
      </c>
      <c r="I419" t="s">
        <v>142</v>
      </c>
      <c r="J419" t="s">
        <v>258</v>
      </c>
      <c r="K419" t="s">
        <v>221</v>
      </c>
      <c r="L419">
        <v>1500</v>
      </c>
      <c r="M419" s="211">
        <v>44403</v>
      </c>
      <c r="N419" s="211">
        <v>44410</v>
      </c>
      <c r="O419" s="212" t="s">
        <v>227</v>
      </c>
      <c r="P419" t="s">
        <v>222</v>
      </c>
      <c r="S419">
        <v>0</v>
      </c>
      <c r="T419">
        <v>0</v>
      </c>
      <c r="U419">
        <v>0</v>
      </c>
      <c r="V419">
        <v>0</v>
      </c>
      <c r="W419">
        <v>0</v>
      </c>
      <c r="X419" s="140">
        <v>1500</v>
      </c>
      <c r="Y419" s="209">
        <f t="shared" si="6"/>
        <v>1500</v>
      </c>
      <c r="Z419">
        <v>0</v>
      </c>
      <c r="AE419"/>
      <c r="AF419"/>
      <c r="AG419" t="s">
        <v>223</v>
      </c>
      <c r="AN419" t="s">
        <v>218</v>
      </c>
      <c r="AO419" t="s">
        <v>224</v>
      </c>
      <c r="AP419" t="s">
        <v>225</v>
      </c>
      <c r="AQ419">
        <v>0.13</v>
      </c>
      <c r="AR419" t="s">
        <v>226</v>
      </c>
    </row>
    <row r="420" hidden="1" spans="1:44">
      <c r="A420" t="s">
        <v>105</v>
      </c>
      <c r="B420" t="s">
        <v>25</v>
      </c>
      <c r="C420" s="209" t="s">
        <v>26</v>
      </c>
      <c r="D420" s="210">
        <v>71020121070346</v>
      </c>
      <c r="E420" s="211">
        <v>44384</v>
      </c>
      <c r="F420" t="s">
        <v>218</v>
      </c>
      <c r="G420" t="s">
        <v>219</v>
      </c>
      <c r="H420">
        <v>8</v>
      </c>
      <c r="I420" t="s">
        <v>142</v>
      </c>
      <c r="J420" t="s">
        <v>258</v>
      </c>
      <c r="K420" t="s">
        <v>221</v>
      </c>
      <c r="L420">
        <v>800</v>
      </c>
      <c r="M420" s="211">
        <v>44406</v>
      </c>
      <c r="N420" s="211">
        <v>44410</v>
      </c>
      <c r="O420" s="212" t="s">
        <v>227</v>
      </c>
      <c r="P420" t="s">
        <v>222</v>
      </c>
      <c r="S420">
        <v>0</v>
      </c>
      <c r="T420">
        <v>0</v>
      </c>
      <c r="U420">
        <v>0</v>
      </c>
      <c r="V420">
        <v>0</v>
      </c>
      <c r="W420">
        <v>0</v>
      </c>
      <c r="X420" s="140">
        <v>800</v>
      </c>
      <c r="Y420" s="209">
        <f t="shared" si="6"/>
        <v>800</v>
      </c>
      <c r="Z420">
        <v>0</v>
      </c>
      <c r="AE420"/>
      <c r="AF420"/>
      <c r="AG420" t="s">
        <v>223</v>
      </c>
      <c r="AN420" t="s">
        <v>218</v>
      </c>
      <c r="AO420" t="s">
        <v>224</v>
      </c>
      <c r="AP420" t="s">
        <v>225</v>
      </c>
      <c r="AQ420">
        <v>0.13</v>
      </c>
      <c r="AR420" t="s">
        <v>226</v>
      </c>
    </row>
    <row r="421" hidden="1" spans="1:44">
      <c r="A421" t="s">
        <v>105</v>
      </c>
      <c r="B421" t="s">
        <v>25</v>
      </c>
      <c r="C421" s="209" t="s">
        <v>26</v>
      </c>
      <c r="D421" s="210">
        <v>71020121070346</v>
      </c>
      <c r="E421" s="211">
        <v>44384</v>
      </c>
      <c r="F421" t="s">
        <v>218</v>
      </c>
      <c r="G421" t="s">
        <v>219</v>
      </c>
      <c r="H421">
        <v>9</v>
      </c>
      <c r="I421" t="s">
        <v>148</v>
      </c>
      <c r="J421" t="s">
        <v>229</v>
      </c>
      <c r="K421" t="s">
        <v>221</v>
      </c>
      <c r="L421">
        <v>100</v>
      </c>
      <c r="M421" s="211">
        <v>44394</v>
      </c>
      <c r="N421" s="211">
        <v>44410</v>
      </c>
      <c r="O421" s="212" t="s">
        <v>227</v>
      </c>
      <c r="P421" t="s">
        <v>222</v>
      </c>
      <c r="S421">
        <v>0</v>
      </c>
      <c r="T421">
        <v>0</v>
      </c>
      <c r="U421">
        <v>0</v>
      </c>
      <c r="V421">
        <v>0</v>
      </c>
      <c r="W421">
        <v>0</v>
      </c>
      <c r="X421" s="140">
        <v>100</v>
      </c>
      <c r="Y421" s="209">
        <f t="shared" si="6"/>
        <v>100</v>
      </c>
      <c r="Z421">
        <v>0</v>
      </c>
      <c r="AE421"/>
      <c r="AF421"/>
      <c r="AG421" t="s">
        <v>223</v>
      </c>
      <c r="AN421" t="s">
        <v>218</v>
      </c>
      <c r="AO421" t="s">
        <v>224</v>
      </c>
      <c r="AP421" t="s">
        <v>225</v>
      </c>
      <c r="AQ421">
        <v>0.13</v>
      </c>
      <c r="AR421" t="s">
        <v>226</v>
      </c>
    </row>
    <row r="422" hidden="1" spans="1:44">
      <c r="A422" t="s">
        <v>105</v>
      </c>
      <c r="B422" t="s">
        <v>25</v>
      </c>
      <c r="C422" s="209" t="s">
        <v>26</v>
      </c>
      <c r="D422" s="210">
        <v>71020121070346</v>
      </c>
      <c r="E422" s="211">
        <v>44384</v>
      </c>
      <c r="F422" t="s">
        <v>218</v>
      </c>
      <c r="G422" t="s">
        <v>219</v>
      </c>
      <c r="H422">
        <v>10</v>
      </c>
      <c r="I422" t="s">
        <v>158</v>
      </c>
      <c r="J422" t="s">
        <v>257</v>
      </c>
      <c r="K422" t="s">
        <v>221</v>
      </c>
      <c r="L422">
        <v>10000</v>
      </c>
      <c r="M422" s="211">
        <v>44417</v>
      </c>
      <c r="N422" s="211">
        <v>44417</v>
      </c>
      <c r="O422" s="212" t="s">
        <v>227</v>
      </c>
      <c r="P422" t="s">
        <v>222</v>
      </c>
      <c r="S422">
        <v>0</v>
      </c>
      <c r="T422">
        <v>0</v>
      </c>
      <c r="U422">
        <v>0</v>
      </c>
      <c r="V422">
        <v>0</v>
      </c>
      <c r="W422">
        <v>0</v>
      </c>
      <c r="X422" s="140">
        <v>10000</v>
      </c>
      <c r="Y422" s="209">
        <f t="shared" si="6"/>
        <v>10000</v>
      </c>
      <c r="Z422">
        <v>0</v>
      </c>
      <c r="AE422"/>
      <c r="AF422"/>
      <c r="AG422" t="s">
        <v>223</v>
      </c>
      <c r="AN422" t="s">
        <v>218</v>
      </c>
      <c r="AO422" t="s">
        <v>224</v>
      </c>
      <c r="AP422" t="s">
        <v>225</v>
      </c>
      <c r="AQ422">
        <v>0.13</v>
      </c>
      <c r="AR422" t="s">
        <v>226</v>
      </c>
    </row>
    <row r="423" hidden="1" spans="1:44">
      <c r="A423" t="s">
        <v>105</v>
      </c>
      <c r="B423" t="s">
        <v>25</v>
      </c>
      <c r="C423" s="209" t="s">
        <v>26</v>
      </c>
      <c r="D423" s="210">
        <v>71020121070346</v>
      </c>
      <c r="E423" s="211">
        <v>44384</v>
      </c>
      <c r="F423" t="s">
        <v>218</v>
      </c>
      <c r="G423" t="s">
        <v>219</v>
      </c>
      <c r="H423">
        <v>11</v>
      </c>
      <c r="I423" t="s">
        <v>158</v>
      </c>
      <c r="J423" t="s">
        <v>257</v>
      </c>
      <c r="K423" t="s">
        <v>221</v>
      </c>
      <c r="L423">
        <v>10000</v>
      </c>
      <c r="M423" s="211">
        <v>44416</v>
      </c>
      <c r="N423" s="211">
        <v>44416</v>
      </c>
      <c r="O423" s="212" t="s">
        <v>227</v>
      </c>
      <c r="P423" t="s">
        <v>222</v>
      </c>
      <c r="S423">
        <v>0</v>
      </c>
      <c r="T423">
        <v>0</v>
      </c>
      <c r="U423">
        <v>0</v>
      </c>
      <c r="V423">
        <v>0</v>
      </c>
      <c r="W423">
        <v>0</v>
      </c>
      <c r="X423" s="140">
        <v>10000</v>
      </c>
      <c r="Y423" s="209">
        <f t="shared" si="6"/>
        <v>10000</v>
      </c>
      <c r="Z423">
        <v>0</v>
      </c>
      <c r="AE423"/>
      <c r="AF423"/>
      <c r="AG423" t="s">
        <v>223</v>
      </c>
      <c r="AN423" t="s">
        <v>218</v>
      </c>
      <c r="AO423" t="s">
        <v>224</v>
      </c>
      <c r="AP423" t="s">
        <v>225</v>
      </c>
      <c r="AQ423">
        <v>0.13</v>
      </c>
      <c r="AR423" t="s">
        <v>226</v>
      </c>
    </row>
    <row r="424" hidden="1" spans="1:44">
      <c r="A424" t="s">
        <v>105</v>
      </c>
      <c r="B424" t="s">
        <v>25</v>
      </c>
      <c r="C424" s="209" t="s">
        <v>26</v>
      </c>
      <c r="D424" s="210">
        <v>71020121070346</v>
      </c>
      <c r="E424" s="211">
        <v>44384</v>
      </c>
      <c r="F424" t="s">
        <v>218</v>
      </c>
      <c r="G424" t="s">
        <v>219</v>
      </c>
      <c r="H424">
        <v>12</v>
      </c>
      <c r="I424" t="s">
        <v>158</v>
      </c>
      <c r="J424" t="s">
        <v>257</v>
      </c>
      <c r="K424" t="s">
        <v>221</v>
      </c>
      <c r="L424">
        <v>10000</v>
      </c>
      <c r="M424" s="211">
        <v>44415</v>
      </c>
      <c r="N424" s="211">
        <v>44415</v>
      </c>
      <c r="O424" s="212" t="s">
        <v>227</v>
      </c>
      <c r="P424" t="s">
        <v>222</v>
      </c>
      <c r="S424">
        <v>0</v>
      </c>
      <c r="T424">
        <v>0</v>
      </c>
      <c r="U424">
        <v>0</v>
      </c>
      <c r="V424">
        <v>0</v>
      </c>
      <c r="W424">
        <v>0</v>
      </c>
      <c r="X424" s="140">
        <v>10000</v>
      </c>
      <c r="Y424" s="209">
        <f t="shared" si="6"/>
        <v>10000</v>
      </c>
      <c r="Z424">
        <v>0</v>
      </c>
      <c r="AE424"/>
      <c r="AF424"/>
      <c r="AG424" t="s">
        <v>223</v>
      </c>
      <c r="AN424" t="s">
        <v>218</v>
      </c>
      <c r="AO424" t="s">
        <v>224</v>
      </c>
      <c r="AP424" t="s">
        <v>225</v>
      </c>
      <c r="AQ424">
        <v>0.13</v>
      </c>
      <c r="AR424" t="s">
        <v>226</v>
      </c>
    </row>
    <row r="425" hidden="1" spans="1:44">
      <c r="A425" t="s">
        <v>105</v>
      </c>
      <c r="B425" t="s">
        <v>25</v>
      </c>
      <c r="C425" s="209" t="s">
        <v>26</v>
      </c>
      <c r="D425" s="210">
        <v>71020121070346</v>
      </c>
      <c r="E425" s="211">
        <v>44384</v>
      </c>
      <c r="F425" t="s">
        <v>218</v>
      </c>
      <c r="G425" t="s">
        <v>219</v>
      </c>
      <c r="H425">
        <v>13</v>
      </c>
      <c r="I425" t="s">
        <v>158</v>
      </c>
      <c r="J425" t="s">
        <v>257</v>
      </c>
      <c r="K425" t="s">
        <v>221</v>
      </c>
      <c r="L425">
        <v>10000</v>
      </c>
      <c r="M425" s="211">
        <v>44414</v>
      </c>
      <c r="N425" s="211">
        <v>44414</v>
      </c>
      <c r="O425" s="212" t="s">
        <v>227</v>
      </c>
      <c r="P425" t="s">
        <v>222</v>
      </c>
      <c r="S425">
        <v>0</v>
      </c>
      <c r="T425">
        <v>0</v>
      </c>
      <c r="U425">
        <v>0</v>
      </c>
      <c r="V425">
        <v>0</v>
      </c>
      <c r="W425">
        <v>0</v>
      </c>
      <c r="X425" s="140">
        <v>10000</v>
      </c>
      <c r="Y425" s="209">
        <f t="shared" si="6"/>
        <v>10000</v>
      </c>
      <c r="Z425">
        <v>0</v>
      </c>
      <c r="AE425"/>
      <c r="AF425"/>
      <c r="AG425" t="s">
        <v>223</v>
      </c>
      <c r="AN425" t="s">
        <v>218</v>
      </c>
      <c r="AO425" t="s">
        <v>224</v>
      </c>
      <c r="AP425" t="s">
        <v>225</v>
      </c>
      <c r="AQ425">
        <v>0.13</v>
      </c>
      <c r="AR425" t="s">
        <v>226</v>
      </c>
    </row>
    <row r="426" hidden="1" spans="1:44">
      <c r="A426" t="s">
        <v>105</v>
      </c>
      <c r="B426" t="s">
        <v>25</v>
      </c>
      <c r="C426" s="209" t="s">
        <v>26</v>
      </c>
      <c r="D426" s="210">
        <v>71020121070346</v>
      </c>
      <c r="E426" s="211">
        <v>44384</v>
      </c>
      <c r="F426" t="s">
        <v>218</v>
      </c>
      <c r="G426" t="s">
        <v>219</v>
      </c>
      <c r="H426">
        <v>14</v>
      </c>
      <c r="I426" t="s">
        <v>158</v>
      </c>
      <c r="J426" t="s">
        <v>257</v>
      </c>
      <c r="K426" t="s">
        <v>221</v>
      </c>
      <c r="L426">
        <v>10000</v>
      </c>
      <c r="M426" s="211">
        <v>44413</v>
      </c>
      <c r="N426" s="211">
        <v>44413</v>
      </c>
      <c r="O426" s="212" t="s">
        <v>227</v>
      </c>
      <c r="P426" t="s">
        <v>222</v>
      </c>
      <c r="S426">
        <v>0</v>
      </c>
      <c r="T426">
        <v>0</v>
      </c>
      <c r="U426">
        <v>0</v>
      </c>
      <c r="V426">
        <v>0</v>
      </c>
      <c r="W426">
        <v>0</v>
      </c>
      <c r="X426" s="140">
        <v>10000</v>
      </c>
      <c r="Y426" s="209">
        <f t="shared" si="6"/>
        <v>10000</v>
      </c>
      <c r="Z426">
        <v>0</v>
      </c>
      <c r="AE426"/>
      <c r="AF426"/>
      <c r="AG426" t="s">
        <v>223</v>
      </c>
      <c r="AN426" t="s">
        <v>218</v>
      </c>
      <c r="AO426" t="s">
        <v>224</v>
      </c>
      <c r="AP426" t="s">
        <v>225</v>
      </c>
      <c r="AQ426">
        <v>0.13</v>
      </c>
      <c r="AR426" t="s">
        <v>226</v>
      </c>
    </row>
    <row r="427" hidden="1" spans="1:44">
      <c r="A427" t="s">
        <v>105</v>
      </c>
      <c r="B427" t="s">
        <v>25</v>
      </c>
      <c r="C427" s="209" t="s">
        <v>26</v>
      </c>
      <c r="D427" s="210">
        <v>71020121070346</v>
      </c>
      <c r="E427" s="211">
        <v>44384</v>
      </c>
      <c r="F427" t="s">
        <v>218</v>
      </c>
      <c r="G427" t="s">
        <v>219</v>
      </c>
      <c r="H427">
        <v>15</v>
      </c>
      <c r="I427" t="s">
        <v>158</v>
      </c>
      <c r="J427" t="s">
        <v>257</v>
      </c>
      <c r="K427" t="s">
        <v>221</v>
      </c>
      <c r="L427">
        <v>10000</v>
      </c>
      <c r="M427" s="211">
        <v>44412</v>
      </c>
      <c r="N427" s="211">
        <v>44412</v>
      </c>
      <c r="O427" s="212" t="s">
        <v>227</v>
      </c>
      <c r="P427" t="s">
        <v>222</v>
      </c>
      <c r="S427">
        <v>0</v>
      </c>
      <c r="T427">
        <v>0</v>
      </c>
      <c r="U427">
        <v>0</v>
      </c>
      <c r="V427">
        <v>0</v>
      </c>
      <c r="W427">
        <v>0</v>
      </c>
      <c r="X427" s="140">
        <v>10000</v>
      </c>
      <c r="Y427" s="209">
        <f t="shared" si="6"/>
        <v>10000</v>
      </c>
      <c r="Z427">
        <v>0</v>
      </c>
      <c r="AE427"/>
      <c r="AF427"/>
      <c r="AG427" t="s">
        <v>223</v>
      </c>
      <c r="AN427" t="s">
        <v>218</v>
      </c>
      <c r="AO427" t="s">
        <v>224</v>
      </c>
      <c r="AP427" t="s">
        <v>225</v>
      </c>
      <c r="AQ427">
        <v>0.13</v>
      </c>
      <c r="AR427" t="s">
        <v>226</v>
      </c>
    </row>
    <row r="428" hidden="1" spans="1:44">
      <c r="A428" t="s">
        <v>105</v>
      </c>
      <c r="B428" t="s">
        <v>25</v>
      </c>
      <c r="C428" s="209" t="s">
        <v>26</v>
      </c>
      <c r="D428" s="210">
        <v>71020121070346</v>
      </c>
      <c r="E428" s="211">
        <v>44384</v>
      </c>
      <c r="F428" t="s">
        <v>218</v>
      </c>
      <c r="G428" t="s">
        <v>219</v>
      </c>
      <c r="H428">
        <v>16</v>
      </c>
      <c r="I428" t="s">
        <v>158</v>
      </c>
      <c r="J428" t="s">
        <v>257</v>
      </c>
      <c r="K428" t="s">
        <v>221</v>
      </c>
      <c r="L428">
        <v>10000</v>
      </c>
      <c r="M428" s="211">
        <v>44411</v>
      </c>
      <c r="N428" s="211">
        <v>44411</v>
      </c>
      <c r="O428" s="212" t="s">
        <v>227</v>
      </c>
      <c r="P428" t="s">
        <v>222</v>
      </c>
      <c r="S428">
        <v>0</v>
      </c>
      <c r="T428">
        <v>0</v>
      </c>
      <c r="U428">
        <v>0</v>
      </c>
      <c r="V428">
        <v>0</v>
      </c>
      <c r="W428">
        <v>0</v>
      </c>
      <c r="X428" s="140">
        <v>10000</v>
      </c>
      <c r="Y428" s="209">
        <f t="shared" si="6"/>
        <v>10000</v>
      </c>
      <c r="Z428">
        <v>0</v>
      </c>
      <c r="AE428"/>
      <c r="AF428"/>
      <c r="AG428" t="s">
        <v>223</v>
      </c>
      <c r="AN428" t="s">
        <v>218</v>
      </c>
      <c r="AO428" t="s">
        <v>224</v>
      </c>
      <c r="AP428" t="s">
        <v>225</v>
      </c>
      <c r="AQ428">
        <v>0.13</v>
      </c>
      <c r="AR428" t="s">
        <v>226</v>
      </c>
    </row>
    <row r="429" hidden="1" spans="1:44">
      <c r="A429" t="s">
        <v>105</v>
      </c>
      <c r="B429" t="s">
        <v>25</v>
      </c>
      <c r="C429" s="209" t="s">
        <v>26</v>
      </c>
      <c r="D429" s="210">
        <v>71020121070346</v>
      </c>
      <c r="E429" s="211">
        <v>44384</v>
      </c>
      <c r="F429" t="s">
        <v>218</v>
      </c>
      <c r="G429" t="s">
        <v>219</v>
      </c>
      <c r="H429">
        <v>17</v>
      </c>
      <c r="I429" t="s">
        <v>158</v>
      </c>
      <c r="J429" t="s">
        <v>257</v>
      </c>
      <c r="K429" t="s">
        <v>221</v>
      </c>
      <c r="L429">
        <v>10000</v>
      </c>
      <c r="M429" s="211">
        <v>44410</v>
      </c>
      <c r="N429" s="211">
        <v>44410</v>
      </c>
      <c r="O429" s="212" t="s">
        <v>227</v>
      </c>
      <c r="P429" t="s">
        <v>222</v>
      </c>
      <c r="S429">
        <v>0</v>
      </c>
      <c r="T429">
        <v>0</v>
      </c>
      <c r="U429">
        <v>0</v>
      </c>
      <c r="V429">
        <v>0</v>
      </c>
      <c r="W429">
        <v>0</v>
      </c>
      <c r="X429" s="140">
        <v>10000</v>
      </c>
      <c r="Y429" s="209">
        <f t="shared" si="6"/>
        <v>10000</v>
      </c>
      <c r="Z429">
        <v>0</v>
      </c>
      <c r="AE429"/>
      <c r="AF429"/>
      <c r="AG429" t="s">
        <v>223</v>
      </c>
      <c r="AN429" t="s">
        <v>218</v>
      </c>
      <c r="AO429" t="s">
        <v>224</v>
      </c>
      <c r="AP429" t="s">
        <v>225</v>
      </c>
      <c r="AQ429">
        <v>0.13</v>
      </c>
      <c r="AR429" t="s">
        <v>226</v>
      </c>
    </row>
    <row r="430" hidden="1" spans="1:44">
      <c r="A430" t="s">
        <v>105</v>
      </c>
      <c r="B430" t="s">
        <v>25</v>
      </c>
      <c r="C430" s="209" t="s">
        <v>26</v>
      </c>
      <c r="D430" s="210">
        <v>71020121070346</v>
      </c>
      <c r="E430" s="211">
        <v>44384</v>
      </c>
      <c r="F430" t="s">
        <v>218</v>
      </c>
      <c r="G430" t="s">
        <v>219</v>
      </c>
      <c r="H430">
        <v>18</v>
      </c>
      <c r="I430" t="s">
        <v>147</v>
      </c>
      <c r="J430" t="s">
        <v>248</v>
      </c>
      <c r="K430" t="s">
        <v>221</v>
      </c>
      <c r="L430">
        <v>1600</v>
      </c>
      <c r="M430" s="211">
        <v>44402</v>
      </c>
      <c r="N430" s="211">
        <v>44410</v>
      </c>
      <c r="O430" s="212" t="s">
        <v>227</v>
      </c>
      <c r="P430" t="s">
        <v>222</v>
      </c>
      <c r="S430">
        <v>0</v>
      </c>
      <c r="T430">
        <v>0</v>
      </c>
      <c r="U430">
        <v>0</v>
      </c>
      <c r="V430">
        <v>0</v>
      </c>
      <c r="W430">
        <v>0</v>
      </c>
      <c r="X430" s="140">
        <v>1600</v>
      </c>
      <c r="Y430" s="209">
        <f t="shared" si="6"/>
        <v>1600</v>
      </c>
      <c r="Z430">
        <v>0</v>
      </c>
      <c r="AE430"/>
      <c r="AF430"/>
      <c r="AG430" t="s">
        <v>223</v>
      </c>
      <c r="AN430" t="s">
        <v>218</v>
      </c>
      <c r="AO430" t="s">
        <v>224</v>
      </c>
      <c r="AP430" t="s">
        <v>225</v>
      </c>
      <c r="AQ430">
        <v>0.13</v>
      </c>
      <c r="AR430" t="s">
        <v>226</v>
      </c>
    </row>
    <row r="431" hidden="1" spans="1:44">
      <c r="A431" t="s">
        <v>105</v>
      </c>
      <c r="B431" t="s">
        <v>25</v>
      </c>
      <c r="C431" s="209" t="s">
        <v>26</v>
      </c>
      <c r="D431" s="210">
        <v>71020121070346</v>
      </c>
      <c r="E431" s="211">
        <v>44384</v>
      </c>
      <c r="F431" t="s">
        <v>218</v>
      </c>
      <c r="G431" t="s">
        <v>219</v>
      </c>
      <c r="H431">
        <v>19</v>
      </c>
      <c r="I431" t="s">
        <v>147</v>
      </c>
      <c r="J431" t="s">
        <v>248</v>
      </c>
      <c r="K431" t="s">
        <v>221</v>
      </c>
      <c r="L431">
        <v>2200</v>
      </c>
      <c r="M431" s="211">
        <v>44442</v>
      </c>
      <c r="N431" s="211">
        <v>44442</v>
      </c>
      <c r="O431" s="212" t="s">
        <v>241</v>
      </c>
      <c r="P431" t="s">
        <v>222</v>
      </c>
      <c r="S431">
        <v>0</v>
      </c>
      <c r="T431">
        <v>0</v>
      </c>
      <c r="U431">
        <v>0</v>
      </c>
      <c r="V431">
        <v>0</v>
      </c>
      <c r="W431">
        <v>0</v>
      </c>
      <c r="X431" s="140">
        <v>2200</v>
      </c>
      <c r="Y431" s="209">
        <f t="shared" si="6"/>
        <v>2200</v>
      </c>
      <c r="Z431">
        <v>0</v>
      </c>
      <c r="AE431"/>
      <c r="AF431"/>
      <c r="AG431" t="s">
        <v>223</v>
      </c>
      <c r="AN431" t="s">
        <v>218</v>
      </c>
      <c r="AO431" t="s">
        <v>224</v>
      </c>
      <c r="AP431" t="s">
        <v>225</v>
      </c>
      <c r="AQ431">
        <v>0.13</v>
      </c>
      <c r="AR431" t="s">
        <v>226</v>
      </c>
    </row>
    <row r="432" hidden="1" spans="1:44">
      <c r="A432" t="s">
        <v>105</v>
      </c>
      <c r="B432" t="s">
        <v>25</v>
      </c>
      <c r="C432" s="209" t="s">
        <v>26</v>
      </c>
      <c r="D432" s="210">
        <v>71020121070346</v>
      </c>
      <c r="E432" s="211">
        <v>44384</v>
      </c>
      <c r="F432" t="s">
        <v>218</v>
      </c>
      <c r="G432" t="s">
        <v>219</v>
      </c>
      <c r="H432">
        <v>20</v>
      </c>
      <c r="I432" t="s">
        <v>147</v>
      </c>
      <c r="J432" t="s">
        <v>248</v>
      </c>
      <c r="K432" t="s">
        <v>221</v>
      </c>
      <c r="L432">
        <v>5000</v>
      </c>
      <c r="M432" s="211">
        <v>44400</v>
      </c>
      <c r="N432" s="211">
        <v>44410</v>
      </c>
      <c r="O432" s="212" t="s">
        <v>227</v>
      </c>
      <c r="P432" t="s">
        <v>222</v>
      </c>
      <c r="S432">
        <v>0</v>
      </c>
      <c r="T432">
        <v>0</v>
      </c>
      <c r="U432">
        <v>0</v>
      </c>
      <c r="V432">
        <v>0</v>
      </c>
      <c r="W432">
        <v>0</v>
      </c>
      <c r="X432" s="140">
        <v>5000</v>
      </c>
      <c r="Y432" s="209">
        <f t="shared" si="6"/>
        <v>5000</v>
      </c>
      <c r="Z432">
        <v>0</v>
      </c>
      <c r="AE432"/>
      <c r="AF432"/>
      <c r="AG432" t="s">
        <v>223</v>
      </c>
      <c r="AN432" t="s">
        <v>218</v>
      </c>
      <c r="AO432" t="s">
        <v>224</v>
      </c>
      <c r="AP432" t="s">
        <v>225</v>
      </c>
      <c r="AQ432">
        <v>0.13</v>
      </c>
      <c r="AR432" t="s">
        <v>226</v>
      </c>
    </row>
    <row r="433" hidden="1" spans="1:44">
      <c r="A433" t="s">
        <v>105</v>
      </c>
      <c r="B433" t="s">
        <v>25</v>
      </c>
      <c r="C433" s="209" t="s">
        <v>26</v>
      </c>
      <c r="D433" s="210">
        <v>71020121070346</v>
      </c>
      <c r="E433" s="211">
        <v>44384</v>
      </c>
      <c r="F433" t="s">
        <v>218</v>
      </c>
      <c r="G433" t="s">
        <v>219</v>
      </c>
      <c r="H433">
        <v>21</v>
      </c>
      <c r="I433" t="s">
        <v>158</v>
      </c>
      <c r="J433" t="s">
        <v>257</v>
      </c>
      <c r="K433" t="s">
        <v>221</v>
      </c>
      <c r="L433">
        <v>10000</v>
      </c>
      <c r="M433" s="211">
        <v>44409</v>
      </c>
      <c r="N433" s="211">
        <v>44411</v>
      </c>
      <c r="O433" s="212" t="s">
        <v>227</v>
      </c>
      <c r="P433" t="s">
        <v>222</v>
      </c>
      <c r="S433">
        <v>0</v>
      </c>
      <c r="T433">
        <v>0</v>
      </c>
      <c r="U433">
        <v>0</v>
      </c>
      <c r="V433">
        <v>0</v>
      </c>
      <c r="W433">
        <v>0</v>
      </c>
      <c r="X433" s="140">
        <v>10000</v>
      </c>
      <c r="Y433" s="209">
        <f t="shared" si="6"/>
        <v>10000</v>
      </c>
      <c r="Z433">
        <v>0</v>
      </c>
      <c r="AE433"/>
      <c r="AF433"/>
      <c r="AG433" t="s">
        <v>223</v>
      </c>
      <c r="AN433" t="s">
        <v>218</v>
      </c>
      <c r="AO433" t="s">
        <v>224</v>
      </c>
      <c r="AP433" t="s">
        <v>225</v>
      </c>
      <c r="AQ433">
        <v>0.13</v>
      </c>
      <c r="AR433" t="s">
        <v>226</v>
      </c>
    </row>
    <row r="434" hidden="1" spans="1:44">
      <c r="A434" t="s">
        <v>105</v>
      </c>
      <c r="B434" t="s">
        <v>25</v>
      </c>
      <c r="C434" s="209" t="s">
        <v>26</v>
      </c>
      <c r="D434" s="210">
        <v>71020121070571</v>
      </c>
      <c r="E434" s="211">
        <v>44389</v>
      </c>
      <c r="F434" t="s">
        <v>218</v>
      </c>
      <c r="G434" t="s">
        <v>219</v>
      </c>
      <c r="H434">
        <v>1</v>
      </c>
      <c r="I434" t="s">
        <v>149</v>
      </c>
      <c r="J434" t="s">
        <v>229</v>
      </c>
      <c r="K434" t="s">
        <v>221</v>
      </c>
      <c r="L434">
        <v>6500</v>
      </c>
      <c r="M434" s="211">
        <v>44445</v>
      </c>
      <c r="N434" s="211">
        <v>44445</v>
      </c>
      <c r="O434" s="212" t="s">
        <v>241</v>
      </c>
      <c r="P434" t="s">
        <v>222</v>
      </c>
      <c r="S434">
        <v>0</v>
      </c>
      <c r="T434">
        <v>0</v>
      </c>
      <c r="U434">
        <v>0</v>
      </c>
      <c r="V434">
        <v>0</v>
      </c>
      <c r="W434">
        <v>0</v>
      </c>
      <c r="X434" s="140">
        <v>6500</v>
      </c>
      <c r="Y434" s="209">
        <f t="shared" si="6"/>
        <v>6500</v>
      </c>
      <c r="Z434">
        <v>0</v>
      </c>
      <c r="AE434"/>
      <c r="AF434"/>
      <c r="AG434" t="s">
        <v>223</v>
      </c>
      <c r="AN434" t="s">
        <v>218</v>
      </c>
      <c r="AO434" t="s">
        <v>224</v>
      </c>
      <c r="AP434" t="s">
        <v>225</v>
      </c>
      <c r="AQ434">
        <v>0.13</v>
      </c>
      <c r="AR434" t="s">
        <v>238</v>
      </c>
    </row>
    <row r="435" hidden="1" spans="1:44">
      <c r="A435" t="s">
        <v>105</v>
      </c>
      <c r="B435" t="s">
        <v>25</v>
      </c>
      <c r="C435" s="209" t="s">
        <v>26</v>
      </c>
      <c r="D435" s="210">
        <v>71020121070571</v>
      </c>
      <c r="E435" s="211">
        <v>44389</v>
      </c>
      <c r="F435" t="s">
        <v>218</v>
      </c>
      <c r="G435" t="s">
        <v>219</v>
      </c>
      <c r="H435">
        <v>2</v>
      </c>
      <c r="I435" t="s">
        <v>151</v>
      </c>
      <c r="J435" t="s">
        <v>220</v>
      </c>
      <c r="K435" t="s">
        <v>221</v>
      </c>
      <c r="L435">
        <v>1000</v>
      </c>
      <c r="M435" s="211">
        <v>44412</v>
      </c>
      <c r="N435" s="211">
        <v>44416</v>
      </c>
      <c r="O435" s="212" t="s">
        <v>227</v>
      </c>
      <c r="P435" t="s">
        <v>222</v>
      </c>
      <c r="S435">
        <v>0</v>
      </c>
      <c r="T435">
        <v>0</v>
      </c>
      <c r="U435">
        <v>0</v>
      </c>
      <c r="V435">
        <v>0</v>
      </c>
      <c r="W435">
        <v>0</v>
      </c>
      <c r="X435" s="140">
        <v>1000</v>
      </c>
      <c r="Y435" s="209">
        <f t="shared" si="6"/>
        <v>1000</v>
      </c>
      <c r="Z435">
        <v>0</v>
      </c>
      <c r="AE435"/>
      <c r="AF435"/>
      <c r="AG435" t="s">
        <v>223</v>
      </c>
      <c r="AN435" t="s">
        <v>218</v>
      </c>
      <c r="AO435" t="s">
        <v>224</v>
      </c>
      <c r="AP435" t="s">
        <v>225</v>
      </c>
      <c r="AQ435">
        <v>0.13</v>
      </c>
      <c r="AR435" t="s">
        <v>238</v>
      </c>
    </row>
    <row r="436" hidden="1" spans="1:44">
      <c r="A436" t="s">
        <v>105</v>
      </c>
      <c r="B436" t="s">
        <v>25</v>
      </c>
      <c r="C436" s="209" t="s">
        <v>26</v>
      </c>
      <c r="D436" s="210">
        <v>71020121070571</v>
      </c>
      <c r="E436" s="211">
        <v>44389</v>
      </c>
      <c r="F436" t="s">
        <v>218</v>
      </c>
      <c r="G436" t="s">
        <v>219</v>
      </c>
      <c r="H436">
        <v>3</v>
      </c>
      <c r="I436" t="s">
        <v>147</v>
      </c>
      <c r="J436" t="s">
        <v>248</v>
      </c>
      <c r="K436" t="s">
        <v>221</v>
      </c>
      <c r="L436">
        <v>10600</v>
      </c>
      <c r="M436" s="211">
        <v>44408</v>
      </c>
      <c r="N436" s="211">
        <v>44416</v>
      </c>
      <c r="O436" s="212" t="s">
        <v>227</v>
      </c>
      <c r="P436" t="s">
        <v>222</v>
      </c>
      <c r="S436">
        <v>0</v>
      </c>
      <c r="T436">
        <v>0</v>
      </c>
      <c r="U436">
        <v>0</v>
      </c>
      <c r="V436">
        <v>0</v>
      </c>
      <c r="W436">
        <v>0</v>
      </c>
      <c r="X436" s="140">
        <v>10600</v>
      </c>
      <c r="Y436" s="209">
        <f t="shared" si="6"/>
        <v>10600</v>
      </c>
      <c r="Z436">
        <v>0</v>
      </c>
      <c r="AE436"/>
      <c r="AF436"/>
      <c r="AG436" t="s">
        <v>223</v>
      </c>
      <c r="AN436" t="s">
        <v>218</v>
      </c>
      <c r="AO436" t="s">
        <v>224</v>
      </c>
      <c r="AP436" t="s">
        <v>225</v>
      </c>
      <c r="AQ436">
        <v>0.13</v>
      </c>
      <c r="AR436" t="s">
        <v>238</v>
      </c>
    </row>
    <row r="437" hidden="1" spans="1:44">
      <c r="A437" t="s">
        <v>105</v>
      </c>
      <c r="B437" t="s">
        <v>25</v>
      </c>
      <c r="C437" s="209" t="s">
        <v>26</v>
      </c>
      <c r="D437" s="210">
        <v>71020121070571</v>
      </c>
      <c r="E437" s="211">
        <v>44389</v>
      </c>
      <c r="F437" t="s">
        <v>218</v>
      </c>
      <c r="G437" t="s">
        <v>219</v>
      </c>
      <c r="H437">
        <v>4</v>
      </c>
      <c r="I437" t="s">
        <v>145</v>
      </c>
      <c r="J437" t="s">
        <v>256</v>
      </c>
      <c r="K437" t="s">
        <v>221</v>
      </c>
      <c r="L437">
        <v>8300</v>
      </c>
      <c r="M437" s="211">
        <v>44422</v>
      </c>
      <c r="N437" s="211">
        <v>44422</v>
      </c>
      <c r="O437" s="212" t="s">
        <v>227</v>
      </c>
      <c r="P437" t="s">
        <v>222</v>
      </c>
      <c r="S437">
        <v>0</v>
      </c>
      <c r="T437">
        <v>0</v>
      </c>
      <c r="U437">
        <v>0</v>
      </c>
      <c r="V437">
        <v>0</v>
      </c>
      <c r="W437">
        <v>0</v>
      </c>
      <c r="X437" s="140">
        <v>8300</v>
      </c>
      <c r="Y437" s="209">
        <f t="shared" si="6"/>
        <v>8300</v>
      </c>
      <c r="Z437">
        <v>0</v>
      </c>
      <c r="AE437"/>
      <c r="AF437"/>
      <c r="AG437" t="s">
        <v>223</v>
      </c>
      <c r="AN437" t="s">
        <v>218</v>
      </c>
      <c r="AO437" t="s">
        <v>224</v>
      </c>
      <c r="AP437" t="s">
        <v>225</v>
      </c>
      <c r="AQ437">
        <v>0.13</v>
      </c>
      <c r="AR437" t="s">
        <v>238</v>
      </c>
    </row>
    <row r="438" hidden="1" spans="1:44">
      <c r="A438" t="s">
        <v>105</v>
      </c>
      <c r="B438" t="s">
        <v>32</v>
      </c>
      <c r="C438" s="209" t="s">
        <v>33</v>
      </c>
      <c r="D438" s="210">
        <v>71020121032239</v>
      </c>
      <c r="E438" s="211">
        <v>44313</v>
      </c>
      <c r="F438" t="s">
        <v>218</v>
      </c>
      <c r="G438" t="s">
        <v>219</v>
      </c>
      <c r="H438">
        <v>8</v>
      </c>
      <c r="I438" t="s">
        <v>121</v>
      </c>
      <c r="J438" t="s">
        <v>220</v>
      </c>
      <c r="K438" t="s">
        <v>221</v>
      </c>
      <c r="L438">
        <v>4000</v>
      </c>
      <c r="M438" s="211">
        <v>44338</v>
      </c>
      <c r="N438" s="211">
        <v>44338</v>
      </c>
      <c r="O438" s="212" t="s">
        <v>60</v>
      </c>
      <c r="P438" t="s">
        <v>222</v>
      </c>
      <c r="S438">
        <v>0</v>
      </c>
      <c r="T438">
        <v>0</v>
      </c>
      <c r="U438">
        <v>0</v>
      </c>
      <c r="V438">
        <v>0</v>
      </c>
      <c r="W438">
        <v>0</v>
      </c>
      <c r="X438" s="140">
        <v>4000</v>
      </c>
      <c r="Y438" s="209">
        <f t="shared" si="6"/>
        <v>4000</v>
      </c>
      <c r="Z438">
        <v>0</v>
      </c>
      <c r="AE438"/>
      <c r="AF438"/>
      <c r="AG438" t="s">
        <v>223</v>
      </c>
      <c r="AN438" t="s">
        <v>218</v>
      </c>
      <c r="AO438" t="s">
        <v>224</v>
      </c>
      <c r="AP438" t="s">
        <v>225</v>
      </c>
      <c r="AQ438">
        <v>0.13</v>
      </c>
      <c r="AR438" t="s">
        <v>226</v>
      </c>
    </row>
    <row r="439" hidden="1" spans="1:44">
      <c r="A439" t="s">
        <v>105</v>
      </c>
      <c r="B439" t="s">
        <v>32</v>
      </c>
      <c r="C439" s="209" t="s">
        <v>33</v>
      </c>
      <c r="D439" s="210">
        <v>71020121032239</v>
      </c>
      <c r="E439" s="211">
        <v>44313</v>
      </c>
      <c r="F439" t="s">
        <v>218</v>
      </c>
      <c r="G439" t="s">
        <v>219</v>
      </c>
      <c r="H439">
        <v>12</v>
      </c>
      <c r="I439" t="s">
        <v>121</v>
      </c>
      <c r="J439" t="s">
        <v>220</v>
      </c>
      <c r="K439" t="s">
        <v>221</v>
      </c>
      <c r="L439">
        <v>2000</v>
      </c>
      <c r="M439" s="211">
        <v>44330</v>
      </c>
      <c r="N439" s="211">
        <v>44342</v>
      </c>
      <c r="O439" s="212" t="s">
        <v>60</v>
      </c>
      <c r="P439" t="s">
        <v>222</v>
      </c>
      <c r="S439">
        <v>0</v>
      </c>
      <c r="T439">
        <v>0</v>
      </c>
      <c r="U439">
        <v>0</v>
      </c>
      <c r="V439">
        <v>0</v>
      </c>
      <c r="W439">
        <v>0</v>
      </c>
      <c r="X439" s="140">
        <v>2000</v>
      </c>
      <c r="Y439" s="209">
        <f t="shared" si="6"/>
        <v>2000</v>
      </c>
      <c r="Z439">
        <v>0</v>
      </c>
      <c r="AE439"/>
      <c r="AF439"/>
      <c r="AG439" t="s">
        <v>223</v>
      </c>
      <c r="AN439" t="s">
        <v>218</v>
      </c>
      <c r="AO439" t="s">
        <v>224</v>
      </c>
      <c r="AP439" t="s">
        <v>225</v>
      </c>
      <c r="AQ439">
        <v>0.13</v>
      </c>
      <c r="AR439" t="s">
        <v>226</v>
      </c>
    </row>
    <row r="440" hidden="1" spans="1:44">
      <c r="A440" t="s">
        <v>105</v>
      </c>
      <c r="B440" t="s">
        <v>32</v>
      </c>
      <c r="C440" s="209" t="s">
        <v>33</v>
      </c>
      <c r="D440" s="210">
        <v>71020121032239</v>
      </c>
      <c r="E440" s="211">
        <v>44313</v>
      </c>
      <c r="F440" t="s">
        <v>218</v>
      </c>
      <c r="G440" t="s">
        <v>219</v>
      </c>
      <c r="H440">
        <v>23</v>
      </c>
      <c r="I440" t="s">
        <v>121</v>
      </c>
      <c r="J440" t="s">
        <v>220</v>
      </c>
      <c r="K440" t="s">
        <v>221</v>
      </c>
      <c r="L440">
        <v>4500</v>
      </c>
      <c r="M440" s="211">
        <v>44345</v>
      </c>
      <c r="N440" s="211">
        <v>44345</v>
      </c>
      <c r="O440" s="212" t="s">
        <v>60</v>
      </c>
      <c r="P440" t="s">
        <v>222</v>
      </c>
      <c r="S440">
        <v>0</v>
      </c>
      <c r="T440">
        <v>0</v>
      </c>
      <c r="U440">
        <v>0</v>
      </c>
      <c r="V440">
        <v>0</v>
      </c>
      <c r="W440">
        <v>0</v>
      </c>
      <c r="X440" s="140">
        <v>4500</v>
      </c>
      <c r="Y440" s="209">
        <f t="shared" si="6"/>
        <v>4500</v>
      </c>
      <c r="Z440">
        <v>0</v>
      </c>
      <c r="AE440"/>
      <c r="AF440"/>
      <c r="AG440" t="s">
        <v>223</v>
      </c>
      <c r="AN440" t="s">
        <v>218</v>
      </c>
      <c r="AO440" t="s">
        <v>224</v>
      </c>
      <c r="AP440" t="s">
        <v>225</v>
      </c>
      <c r="AQ440">
        <v>0.13</v>
      </c>
      <c r="AR440" t="s">
        <v>226</v>
      </c>
    </row>
    <row r="441" hidden="1" spans="1:44">
      <c r="A441" t="s">
        <v>105</v>
      </c>
      <c r="B441" t="s">
        <v>32</v>
      </c>
      <c r="C441" s="209" t="s">
        <v>33</v>
      </c>
      <c r="D441" s="210">
        <v>71020121032239</v>
      </c>
      <c r="E441" s="211">
        <v>44313</v>
      </c>
      <c r="F441" t="s">
        <v>218</v>
      </c>
      <c r="G441" t="s">
        <v>219</v>
      </c>
      <c r="H441">
        <v>24</v>
      </c>
      <c r="I441" t="s">
        <v>121</v>
      </c>
      <c r="J441" t="s">
        <v>220</v>
      </c>
      <c r="K441" t="s">
        <v>221</v>
      </c>
      <c r="L441">
        <v>4000</v>
      </c>
      <c r="M441" s="211">
        <v>44344</v>
      </c>
      <c r="N441" s="211">
        <v>44344</v>
      </c>
      <c r="O441" s="212" t="s">
        <v>60</v>
      </c>
      <c r="P441" t="s">
        <v>222</v>
      </c>
      <c r="S441">
        <v>0</v>
      </c>
      <c r="T441">
        <v>0</v>
      </c>
      <c r="U441">
        <v>0</v>
      </c>
      <c r="V441">
        <v>0</v>
      </c>
      <c r="W441">
        <v>0</v>
      </c>
      <c r="X441" s="140">
        <v>4000</v>
      </c>
      <c r="Y441" s="209">
        <f t="shared" si="6"/>
        <v>4000</v>
      </c>
      <c r="Z441">
        <v>0</v>
      </c>
      <c r="AE441"/>
      <c r="AF441"/>
      <c r="AG441" t="s">
        <v>223</v>
      </c>
      <c r="AN441" t="s">
        <v>218</v>
      </c>
      <c r="AO441" t="s">
        <v>224</v>
      </c>
      <c r="AP441" t="s">
        <v>225</v>
      </c>
      <c r="AQ441">
        <v>0.13</v>
      </c>
      <c r="AR441" t="s">
        <v>226</v>
      </c>
    </row>
    <row r="442" hidden="1" spans="1:44">
      <c r="A442" t="s">
        <v>105</v>
      </c>
      <c r="B442" t="s">
        <v>32</v>
      </c>
      <c r="C442" s="209" t="s">
        <v>33</v>
      </c>
      <c r="D442" s="210">
        <v>71020121050338</v>
      </c>
      <c r="E442" s="211">
        <v>44324</v>
      </c>
      <c r="F442" t="s">
        <v>218</v>
      </c>
      <c r="G442" t="s">
        <v>219</v>
      </c>
      <c r="H442">
        <v>1</v>
      </c>
      <c r="I442" t="s">
        <v>121</v>
      </c>
      <c r="J442" t="s">
        <v>220</v>
      </c>
      <c r="K442" t="s">
        <v>221</v>
      </c>
      <c r="L442">
        <v>2000</v>
      </c>
      <c r="M442" s="211">
        <v>44341</v>
      </c>
      <c r="N442" s="211">
        <v>44341</v>
      </c>
      <c r="O442" s="212" t="s">
        <v>60</v>
      </c>
      <c r="P442" t="s">
        <v>222</v>
      </c>
      <c r="S442">
        <v>0</v>
      </c>
      <c r="T442">
        <v>0</v>
      </c>
      <c r="U442">
        <v>0</v>
      </c>
      <c r="V442">
        <v>0</v>
      </c>
      <c r="W442">
        <v>0</v>
      </c>
      <c r="X442" s="140">
        <v>2000</v>
      </c>
      <c r="Y442" s="209">
        <f t="shared" si="6"/>
        <v>2000</v>
      </c>
      <c r="Z442">
        <v>0</v>
      </c>
      <c r="AE442"/>
      <c r="AF442"/>
      <c r="AG442" t="s">
        <v>223</v>
      </c>
      <c r="AN442" t="s">
        <v>218</v>
      </c>
      <c r="AO442" t="s">
        <v>224</v>
      </c>
      <c r="AP442" t="s">
        <v>225</v>
      </c>
      <c r="AQ442">
        <v>0.13</v>
      </c>
      <c r="AR442" t="s">
        <v>226</v>
      </c>
    </row>
    <row r="443" hidden="1" spans="1:44">
      <c r="A443" t="s">
        <v>105</v>
      </c>
      <c r="B443" t="s">
        <v>32</v>
      </c>
      <c r="C443" s="209" t="s">
        <v>33</v>
      </c>
      <c r="D443" s="210">
        <v>71020121050338</v>
      </c>
      <c r="E443" s="211">
        <v>44324</v>
      </c>
      <c r="F443" t="s">
        <v>218</v>
      </c>
      <c r="G443" t="s">
        <v>219</v>
      </c>
      <c r="H443">
        <v>2</v>
      </c>
      <c r="I443" t="s">
        <v>121</v>
      </c>
      <c r="J443" t="s">
        <v>220</v>
      </c>
      <c r="K443" t="s">
        <v>221</v>
      </c>
      <c r="L443">
        <v>2000</v>
      </c>
      <c r="M443" s="211">
        <v>44344</v>
      </c>
      <c r="N443" s="211">
        <v>44344</v>
      </c>
      <c r="O443" s="212" t="s">
        <v>60</v>
      </c>
      <c r="P443" t="s">
        <v>222</v>
      </c>
      <c r="S443">
        <v>0</v>
      </c>
      <c r="T443">
        <v>0</v>
      </c>
      <c r="U443">
        <v>0</v>
      </c>
      <c r="V443">
        <v>0</v>
      </c>
      <c r="W443">
        <v>0</v>
      </c>
      <c r="X443" s="140">
        <v>2000</v>
      </c>
      <c r="Y443" s="209">
        <f t="shared" si="6"/>
        <v>2000</v>
      </c>
      <c r="Z443">
        <v>0</v>
      </c>
      <c r="AE443"/>
      <c r="AF443"/>
      <c r="AG443" t="s">
        <v>223</v>
      </c>
      <c r="AN443" t="s">
        <v>218</v>
      </c>
      <c r="AO443" t="s">
        <v>224</v>
      </c>
      <c r="AP443" t="s">
        <v>225</v>
      </c>
      <c r="AQ443">
        <v>0.13</v>
      </c>
      <c r="AR443" t="s">
        <v>226</v>
      </c>
    </row>
    <row r="444" hidden="1" spans="1:44">
      <c r="A444" t="s">
        <v>105</v>
      </c>
      <c r="B444" t="s">
        <v>32</v>
      </c>
      <c r="C444" s="209" t="s">
        <v>33</v>
      </c>
      <c r="D444" s="210">
        <v>71020121050338</v>
      </c>
      <c r="E444" s="211">
        <v>44324</v>
      </c>
      <c r="F444" t="s">
        <v>218</v>
      </c>
      <c r="G444" t="s">
        <v>219</v>
      </c>
      <c r="H444">
        <v>3</v>
      </c>
      <c r="I444" t="s">
        <v>121</v>
      </c>
      <c r="J444" t="s">
        <v>220</v>
      </c>
      <c r="K444" t="s">
        <v>221</v>
      </c>
      <c r="L444">
        <v>2000</v>
      </c>
      <c r="M444" s="211">
        <v>44343</v>
      </c>
      <c r="N444" s="211">
        <v>44343</v>
      </c>
      <c r="O444" s="212" t="s">
        <v>60</v>
      </c>
      <c r="P444" t="s">
        <v>222</v>
      </c>
      <c r="S444">
        <v>0</v>
      </c>
      <c r="T444">
        <v>0</v>
      </c>
      <c r="U444">
        <v>0</v>
      </c>
      <c r="V444">
        <v>0</v>
      </c>
      <c r="W444">
        <v>0</v>
      </c>
      <c r="X444" s="140">
        <v>2000</v>
      </c>
      <c r="Y444" s="209">
        <f t="shared" si="6"/>
        <v>2000</v>
      </c>
      <c r="Z444">
        <v>0</v>
      </c>
      <c r="AE444"/>
      <c r="AF444"/>
      <c r="AG444" t="s">
        <v>223</v>
      </c>
      <c r="AN444" t="s">
        <v>218</v>
      </c>
      <c r="AO444" t="s">
        <v>224</v>
      </c>
      <c r="AP444" t="s">
        <v>225</v>
      </c>
      <c r="AQ444">
        <v>0.13</v>
      </c>
      <c r="AR444" t="s">
        <v>226</v>
      </c>
    </row>
    <row r="445" hidden="1" spans="1:44">
      <c r="A445" t="s">
        <v>105</v>
      </c>
      <c r="B445" t="s">
        <v>32</v>
      </c>
      <c r="C445" s="209" t="s">
        <v>33</v>
      </c>
      <c r="D445" s="210">
        <v>71020121050338</v>
      </c>
      <c r="E445" s="211">
        <v>44324</v>
      </c>
      <c r="F445" t="s">
        <v>218</v>
      </c>
      <c r="G445" t="s">
        <v>219</v>
      </c>
      <c r="H445">
        <v>4</v>
      </c>
      <c r="I445" t="s">
        <v>121</v>
      </c>
      <c r="J445" t="s">
        <v>220</v>
      </c>
      <c r="K445" t="s">
        <v>221</v>
      </c>
      <c r="L445">
        <v>2000</v>
      </c>
      <c r="M445" s="211">
        <v>44342</v>
      </c>
      <c r="N445" s="211">
        <v>44342</v>
      </c>
      <c r="O445" s="212" t="s">
        <v>60</v>
      </c>
      <c r="P445" t="s">
        <v>222</v>
      </c>
      <c r="S445">
        <v>1448</v>
      </c>
      <c r="T445">
        <v>1448</v>
      </c>
      <c r="U445">
        <v>0</v>
      </c>
      <c r="V445">
        <v>1448</v>
      </c>
      <c r="W445">
        <v>0</v>
      </c>
      <c r="X445" s="140">
        <v>552</v>
      </c>
      <c r="Y445" s="209">
        <f t="shared" si="6"/>
        <v>552</v>
      </c>
      <c r="Z445">
        <v>0</v>
      </c>
      <c r="AE445">
        <v>44379</v>
      </c>
      <c r="AF445">
        <v>44380</v>
      </c>
      <c r="AG445" t="s">
        <v>223</v>
      </c>
      <c r="AN445" t="s">
        <v>218</v>
      </c>
      <c r="AO445" t="s">
        <v>224</v>
      </c>
      <c r="AP445" t="s">
        <v>225</v>
      </c>
      <c r="AQ445">
        <v>0.13</v>
      </c>
      <c r="AR445" t="s">
        <v>226</v>
      </c>
    </row>
    <row r="446" hidden="1" spans="1:44">
      <c r="A446" t="s">
        <v>105</v>
      </c>
      <c r="B446" t="s">
        <v>32</v>
      </c>
      <c r="C446" s="209" t="s">
        <v>33</v>
      </c>
      <c r="D446" s="210">
        <v>71020121050338</v>
      </c>
      <c r="E446" s="211">
        <v>44324</v>
      </c>
      <c r="F446" t="s">
        <v>218</v>
      </c>
      <c r="G446" t="s">
        <v>219</v>
      </c>
      <c r="H446">
        <v>7</v>
      </c>
      <c r="I446" t="s">
        <v>121</v>
      </c>
      <c r="J446" t="s">
        <v>220</v>
      </c>
      <c r="K446" t="s">
        <v>221</v>
      </c>
      <c r="L446">
        <v>2000</v>
      </c>
      <c r="M446" s="211">
        <v>44352</v>
      </c>
      <c r="N446" s="211">
        <v>44352</v>
      </c>
      <c r="O446" s="212" t="s">
        <v>60</v>
      </c>
      <c r="P446" t="s">
        <v>222</v>
      </c>
      <c r="S446">
        <v>0</v>
      </c>
      <c r="T446">
        <v>0</v>
      </c>
      <c r="U446">
        <v>0</v>
      </c>
      <c r="V446">
        <v>0</v>
      </c>
      <c r="W446">
        <v>0</v>
      </c>
      <c r="X446" s="140">
        <v>2000</v>
      </c>
      <c r="Y446" s="209">
        <f t="shared" si="6"/>
        <v>2000</v>
      </c>
      <c r="Z446">
        <v>0</v>
      </c>
      <c r="AE446"/>
      <c r="AF446"/>
      <c r="AG446" t="s">
        <v>223</v>
      </c>
      <c r="AN446" t="s">
        <v>218</v>
      </c>
      <c r="AO446" t="s">
        <v>224</v>
      </c>
      <c r="AP446" t="s">
        <v>225</v>
      </c>
      <c r="AQ446">
        <v>0.13</v>
      </c>
      <c r="AR446" t="s">
        <v>226</v>
      </c>
    </row>
    <row r="447" hidden="1" spans="1:44">
      <c r="A447" t="s">
        <v>105</v>
      </c>
      <c r="B447" t="s">
        <v>32</v>
      </c>
      <c r="C447" s="209" t="s">
        <v>33</v>
      </c>
      <c r="D447" s="210">
        <v>71020121050338</v>
      </c>
      <c r="E447" s="211">
        <v>44324</v>
      </c>
      <c r="F447" t="s">
        <v>218</v>
      </c>
      <c r="G447" t="s">
        <v>219</v>
      </c>
      <c r="H447">
        <v>8</v>
      </c>
      <c r="I447" t="s">
        <v>121</v>
      </c>
      <c r="J447" t="s">
        <v>220</v>
      </c>
      <c r="K447" t="s">
        <v>221</v>
      </c>
      <c r="L447">
        <v>2000</v>
      </c>
      <c r="M447" s="211">
        <v>44345</v>
      </c>
      <c r="N447" s="211">
        <v>44345</v>
      </c>
      <c r="O447" s="212" t="s">
        <v>60</v>
      </c>
      <c r="P447" t="s">
        <v>222</v>
      </c>
      <c r="S447">
        <v>0</v>
      </c>
      <c r="T447">
        <v>0</v>
      </c>
      <c r="U447">
        <v>0</v>
      </c>
      <c r="V447">
        <v>0</v>
      </c>
      <c r="W447">
        <v>0</v>
      </c>
      <c r="X447" s="140">
        <v>2000</v>
      </c>
      <c r="Y447" s="209">
        <f t="shared" si="6"/>
        <v>2000</v>
      </c>
      <c r="Z447">
        <v>0</v>
      </c>
      <c r="AE447"/>
      <c r="AF447"/>
      <c r="AG447" t="s">
        <v>223</v>
      </c>
      <c r="AN447" t="s">
        <v>218</v>
      </c>
      <c r="AO447" t="s">
        <v>224</v>
      </c>
      <c r="AP447" t="s">
        <v>225</v>
      </c>
      <c r="AQ447">
        <v>0.13</v>
      </c>
      <c r="AR447" t="s">
        <v>226</v>
      </c>
    </row>
    <row r="448" hidden="1" spans="1:44">
      <c r="A448" t="s">
        <v>105</v>
      </c>
      <c r="B448" t="s">
        <v>32</v>
      </c>
      <c r="C448" s="209" t="s">
        <v>33</v>
      </c>
      <c r="D448" s="210">
        <v>71020121060807</v>
      </c>
      <c r="E448" s="211">
        <v>44363</v>
      </c>
      <c r="F448" t="s">
        <v>218</v>
      </c>
      <c r="G448" t="s">
        <v>219</v>
      </c>
      <c r="H448">
        <v>1</v>
      </c>
      <c r="I448" t="s">
        <v>121</v>
      </c>
      <c r="J448" t="s">
        <v>220</v>
      </c>
      <c r="K448" t="s">
        <v>221</v>
      </c>
      <c r="L448">
        <v>4400</v>
      </c>
      <c r="M448" s="211">
        <v>44383</v>
      </c>
      <c r="N448" s="211">
        <v>44425</v>
      </c>
      <c r="O448" s="212" t="s">
        <v>227</v>
      </c>
      <c r="P448" t="s">
        <v>222</v>
      </c>
      <c r="S448">
        <v>0</v>
      </c>
      <c r="T448">
        <v>0</v>
      </c>
      <c r="U448">
        <v>0</v>
      </c>
      <c r="V448">
        <v>0</v>
      </c>
      <c r="W448">
        <v>0</v>
      </c>
      <c r="X448" s="140">
        <v>4400</v>
      </c>
      <c r="Y448" s="209">
        <f t="shared" si="6"/>
        <v>4400</v>
      </c>
      <c r="Z448">
        <v>0</v>
      </c>
      <c r="AE448"/>
      <c r="AF448"/>
      <c r="AG448" t="s">
        <v>223</v>
      </c>
      <c r="AN448" t="s">
        <v>218</v>
      </c>
      <c r="AO448" t="s">
        <v>224</v>
      </c>
      <c r="AP448" t="s">
        <v>225</v>
      </c>
      <c r="AQ448">
        <v>0.13</v>
      </c>
      <c r="AR448" t="s">
        <v>226</v>
      </c>
    </row>
    <row r="449" hidden="1" spans="1:44">
      <c r="A449" t="s">
        <v>105</v>
      </c>
      <c r="B449" t="s">
        <v>32</v>
      </c>
      <c r="C449" s="209" t="s">
        <v>33</v>
      </c>
      <c r="D449" s="210">
        <v>71020121060807</v>
      </c>
      <c r="E449" s="211">
        <v>44363</v>
      </c>
      <c r="F449" t="s">
        <v>218</v>
      </c>
      <c r="G449" t="s">
        <v>219</v>
      </c>
      <c r="H449">
        <v>4</v>
      </c>
      <c r="I449" t="s">
        <v>121</v>
      </c>
      <c r="J449" t="s">
        <v>220</v>
      </c>
      <c r="K449" t="s">
        <v>221</v>
      </c>
      <c r="L449">
        <v>4000</v>
      </c>
      <c r="M449" s="211">
        <v>44380</v>
      </c>
      <c r="N449" s="211">
        <v>44421</v>
      </c>
      <c r="O449" s="212" t="s">
        <v>227</v>
      </c>
      <c r="P449" t="s">
        <v>222</v>
      </c>
      <c r="S449">
        <v>0</v>
      </c>
      <c r="T449">
        <v>0</v>
      </c>
      <c r="U449">
        <v>0</v>
      </c>
      <c r="V449">
        <v>0</v>
      </c>
      <c r="W449">
        <v>0</v>
      </c>
      <c r="X449" s="140">
        <v>4000</v>
      </c>
      <c r="Y449" s="209">
        <f t="shared" si="6"/>
        <v>4000</v>
      </c>
      <c r="Z449">
        <v>0</v>
      </c>
      <c r="AE449"/>
      <c r="AF449"/>
      <c r="AG449" t="s">
        <v>223</v>
      </c>
      <c r="AN449" t="s">
        <v>218</v>
      </c>
      <c r="AO449" t="s">
        <v>224</v>
      </c>
      <c r="AP449" t="s">
        <v>225</v>
      </c>
      <c r="AQ449">
        <v>0.13</v>
      </c>
      <c r="AR449" t="s">
        <v>226</v>
      </c>
    </row>
    <row r="450" hidden="1" spans="1:44">
      <c r="A450" t="s">
        <v>105</v>
      </c>
      <c r="B450" t="s">
        <v>32</v>
      </c>
      <c r="C450" s="209" t="s">
        <v>33</v>
      </c>
      <c r="D450" s="210">
        <v>71020121060807</v>
      </c>
      <c r="E450" s="211">
        <v>44363</v>
      </c>
      <c r="F450" t="s">
        <v>218</v>
      </c>
      <c r="G450" t="s">
        <v>219</v>
      </c>
      <c r="H450">
        <v>5</v>
      </c>
      <c r="I450" t="s">
        <v>121</v>
      </c>
      <c r="J450" t="s">
        <v>220</v>
      </c>
      <c r="K450" t="s">
        <v>221</v>
      </c>
      <c r="L450">
        <v>4000</v>
      </c>
      <c r="M450" s="211">
        <v>44379</v>
      </c>
      <c r="N450" s="211">
        <v>44410</v>
      </c>
      <c r="O450" s="212" t="s">
        <v>227</v>
      </c>
      <c r="P450" t="s">
        <v>222</v>
      </c>
      <c r="S450">
        <v>0</v>
      </c>
      <c r="T450">
        <v>0</v>
      </c>
      <c r="U450">
        <v>0</v>
      </c>
      <c r="V450">
        <v>0</v>
      </c>
      <c r="W450">
        <v>0</v>
      </c>
      <c r="X450" s="140">
        <v>4000</v>
      </c>
      <c r="Y450" s="209">
        <f t="shared" si="6"/>
        <v>4000</v>
      </c>
      <c r="Z450">
        <v>0</v>
      </c>
      <c r="AE450"/>
      <c r="AF450"/>
      <c r="AG450" t="s">
        <v>223</v>
      </c>
      <c r="AN450" t="s">
        <v>218</v>
      </c>
      <c r="AO450" t="s">
        <v>224</v>
      </c>
      <c r="AP450" t="s">
        <v>225</v>
      </c>
      <c r="AQ450">
        <v>0.13</v>
      </c>
      <c r="AR450" t="s">
        <v>226</v>
      </c>
    </row>
    <row r="451" hidden="1" spans="1:44">
      <c r="A451" t="s">
        <v>105</v>
      </c>
      <c r="B451" t="s">
        <v>32</v>
      </c>
      <c r="C451" s="209" t="s">
        <v>33</v>
      </c>
      <c r="D451" s="210">
        <v>71020121060807</v>
      </c>
      <c r="E451" s="211">
        <v>44363</v>
      </c>
      <c r="F451" t="s">
        <v>218</v>
      </c>
      <c r="G451" t="s">
        <v>219</v>
      </c>
      <c r="H451">
        <v>6</v>
      </c>
      <c r="I451" t="s">
        <v>121</v>
      </c>
      <c r="J451" t="s">
        <v>220</v>
      </c>
      <c r="K451" t="s">
        <v>221</v>
      </c>
      <c r="L451">
        <v>4000</v>
      </c>
      <c r="M451" s="211">
        <v>44378</v>
      </c>
      <c r="N451" s="211">
        <v>44409</v>
      </c>
      <c r="O451" s="212" t="s">
        <v>227</v>
      </c>
      <c r="P451" t="s">
        <v>222</v>
      </c>
      <c r="S451">
        <v>0</v>
      </c>
      <c r="T451">
        <v>0</v>
      </c>
      <c r="U451">
        <v>0</v>
      </c>
      <c r="V451">
        <v>0</v>
      </c>
      <c r="W451">
        <v>0</v>
      </c>
      <c r="X451" s="140">
        <v>4000</v>
      </c>
      <c r="Y451" s="209">
        <f t="shared" ref="Y451:Y514" si="7">L451-S451</f>
        <v>4000</v>
      </c>
      <c r="Z451">
        <v>0</v>
      </c>
      <c r="AE451"/>
      <c r="AF451"/>
      <c r="AG451" t="s">
        <v>223</v>
      </c>
      <c r="AN451" t="s">
        <v>218</v>
      </c>
      <c r="AO451" t="s">
        <v>224</v>
      </c>
      <c r="AP451" t="s">
        <v>225</v>
      </c>
      <c r="AQ451">
        <v>0.13</v>
      </c>
      <c r="AR451" t="s">
        <v>226</v>
      </c>
    </row>
    <row r="452" hidden="1" spans="1:44">
      <c r="A452" t="s">
        <v>105</v>
      </c>
      <c r="B452" t="s">
        <v>32</v>
      </c>
      <c r="C452" s="209" t="s">
        <v>33</v>
      </c>
      <c r="D452" s="210">
        <v>71020121060807</v>
      </c>
      <c r="E452" s="211">
        <v>44363</v>
      </c>
      <c r="F452" t="s">
        <v>218</v>
      </c>
      <c r="G452" t="s">
        <v>219</v>
      </c>
      <c r="H452">
        <v>7</v>
      </c>
      <c r="I452" t="s">
        <v>120</v>
      </c>
      <c r="J452" t="s">
        <v>220</v>
      </c>
      <c r="K452" t="s">
        <v>221</v>
      </c>
      <c r="L452">
        <v>2000</v>
      </c>
      <c r="M452" s="211">
        <v>44384</v>
      </c>
      <c r="N452" s="211">
        <v>44414</v>
      </c>
      <c r="O452" s="212" t="s">
        <v>227</v>
      </c>
      <c r="P452" t="s">
        <v>222</v>
      </c>
      <c r="S452">
        <v>0</v>
      </c>
      <c r="T452">
        <v>0</v>
      </c>
      <c r="U452">
        <v>0</v>
      </c>
      <c r="V452">
        <v>0</v>
      </c>
      <c r="W452">
        <v>0</v>
      </c>
      <c r="X452" s="140">
        <v>2000</v>
      </c>
      <c r="Y452" s="209">
        <f t="shared" si="7"/>
        <v>2000</v>
      </c>
      <c r="Z452">
        <v>0</v>
      </c>
      <c r="AE452"/>
      <c r="AF452"/>
      <c r="AG452" t="s">
        <v>223</v>
      </c>
      <c r="AN452" t="s">
        <v>218</v>
      </c>
      <c r="AO452" t="s">
        <v>224</v>
      </c>
      <c r="AP452" t="s">
        <v>225</v>
      </c>
      <c r="AQ452">
        <v>0.13</v>
      </c>
      <c r="AR452" t="s">
        <v>226</v>
      </c>
    </row>
    <row r="453" hidden="1" spans="1:44">
      <c r="A453" t="s">
        <v>105</v>
      </c>
      <c r="B453" t="s">
        <v>32</v>
      </c>
      <c r="C453" s="209" t="s">
        <v>33</v>
      </c>
      <c r="D453" s="210">
        <v>71020121060807</v>
      </c>
      <c r="E453" s="211">
        <v>44363</v>
      </c>
      <c r="F453" t="s">
        <v>218</v>
      </c>
      <c r="G453" t="s">
        <v>219</v>
      </c>
      <c r="H453">
        <v>8</v>
      </c>
      <c r="I453" t="s">
        <v>120</v>
      </c>
      <c r="J453" t="s">
        <v>220</v>
      </c>
      <c r="K453" t="s">
        <v>221</v>
      </c>
      <c r="L453">
        <v>1000</v>
      </c>
      <c r="M453" s="211">
        <v>44383</v>
      </c>
      <c r="N453" s="211">
        <v>44414</v>
      </c>
      <c r="O453" s="212" t="s">
        <v>227</v>
      </c>
      <c r="P453" t="s">
        <v>222</v>
      </c>
      <c r="S453">
        <v>0</v>
      </c>
      <c r="T453">
        <v>0</v>
      </c>
      <c r="U453">
        <v>0</v>
      </c>
      <c r="V453">
        <v>0</v>
      </c>
      <c r="W453">
        <v>0</v>
      </c>
      <c r="X453" s="140">
        <v>1000</v>
      </c>
      <c r="Y453" s="209">
        <f t="shared" si="7"/>
        <v>1000</v>
      </c>
      <c r="Z453">
        <v>0</v>
      </c>
      <c r="AE453"/>
      <c r="AF453"/>
      <c r="AG453" t="s">
        <v>223</v>
      </c>
      <c r="AN453" t="s">
        <v>218</v>
      </c>
      <c r="AO453" t="s">
        <v>224</v>
      </c>
      <c r="AP453" t="s">
        <v>225</v>
      </c>
      <c r="AQ453">
        <v>0.13</v>
      </c>
      <c r="AR453" t="s">
        <v>226</v>
      </c>
    </row>
    <row r="454" hidden="1" spans="1:44">
      <c r="A454" t="s">
        <v>105</v>
      </c>
      <c r="B454" t="s">
        <v>32</v>
      </c>
      <c r="C454" s="209" t="s">
        <v>33</v>
      </c>
      <c r="D454" s="210">
        <v>71020121060807</v>
      </c>
      <c r="E454" s="211">
        <v>44363</v>
      </c>
      <c r="F454" t="s">
        <v>218</v>
      </c>
      <c r="G454" t="s">
        <v>219</v>
      </c>
      <c r="H454">
        <v>11</v>
      </c>
      <c r="I454" t="s">
        <v>120</v>
      </c>
      <c r="J454" t="s">
        <v>220</v>
      </c>
      <c r="K454" t="s">
        <v>221</v>
      </c>
      <c r="L454">
        <v>4000</v>
      </c>
      <c r="M454" s="211">
        <v>44380</v>
      </c>
      <c r="N454" s="211">
        <v>44411</v>
      </c>
      <c r="O454" s="212" t="s">
        <v>227</v>
      </c>
      <c r="P454" t="s">
        <v>222</v>
      </c>
      <c r="S454">
        <v>0</v>
      </c>
      <c r="T454">
        <v>0</v>
      </c>
      <c r="U454">
        <v>0</v>
      </c>
      <c r="V454">
        <v>0</v>
      </c>
      <c r="W454">
        <v>0</v>
      </c>
      <c r="X454" s="140">
        <v>4000</v>
      </c>
      <c r="Y454" s="209">
        <f t="shared" si="7"/>
        <v>4000</v>
      </c>
      <c r="Z454">
        <v>0</v>
      </c>
      <c r="AE454"/>
      <c r="AF454"/>
      <c r="AG454" t="s">
        <v>223</v>
      </c>
      <c r="AN454" t="s">
        <v>218</v>
      </c>
      <c r="AO454" t="s">
        <v>224</v>
      </c>
      <c r="AP454" t="s">
        <v>225</v>
      </c>
      <c r="AQ454">
        <v>0.13</v>
      </c>
      <c r="AR454" t="s">
        <v>226</v>
      </c>
    </row>
    <row r="455" hidden="1" spans="1:44">
      <c r="A455" t="s">
        <v>105</v>
      </c>
      <c r="B455" t="s">
        <v>32</v>
      </c>
      <c r="C455" s="209" t="s">
        <v>33</v>
      </c>
      <c r="D455" s="210">
        <v>71020121060807</v>
      </c>
      <c r="E455" s="211">
        <v>44363</v>
      </c>
      <c r="F455" t="s">
        <v>218</v>
      </c>
      <c r="G455" t="s">
        <v>219</v>
      </c>
      <c r="H455">
        <v>12</v>
      </c>
      <c r="I455" t="s">
        <v>120</v>
      </c>
      <c r="J455" t="s">
        <v>220</v>
      </c>
      <c r="K455" t="s">
        <v>221</v>
      </c>
      <c r="L455">
        <v>4000</v>
      </c>
      <c r="M455" s="211">
        <v>44379</v>
      </c>
      <c r="N455" s="211">
        <v>44410</v>
      </c>
      <c r="O455" s="212" t="s">
        <v>227</v>
      </c>
      <c r="P455" t="s">
        <v>222</v>
      </c>
      <c r="S455">
        <v>0</v>
      </c>
      <c r="T455">
        <v>0</v>
      </c>
      <c r="U455">
        <v>0</v>
      </c>
      <c r="V455">
        <v>0</v>
      </c>
      <c r="W455">
        <v>0</v>
      </c>
      <c r="X455" s="140">
        <v>4000</v>
      </c>
      <c r="Y455" s="209">
        <f t="shared" si="7"/>
        <v>4000</v>
      </c>
      <c r="Z455">
        <v>0</v>
      </c>
      <c r="AE455"/>
      <c r="AF455"/>
      <c r="AG455" t="s">
        <v>223</v>
      </c>
      <c r="AN455" t="s">
        <v>218</v>
      </c>
      <c r="AO455" t="s">
        <v>224</v>
      </c>
      <c r="AP455" t="s">
        <v>225</v>
      </c>
      <c r="AQ455">
        <v>0.13</v>
      </c>
      <c r="AR455" t="s">
        <v>226</v>
      </c>
    </row>
    <row r="456" hidden="1" spans="1:44">
      <c r="A456" t="s">
        <v>105</v>
      </c>
      <c r="B456" t="s">
        <v>32</v>
      </c>
      <c r="C456" s="209" t="s">
        <v>33</v>
      </c>
      <c r="D456" s="210">
        <v>71020121060807</v>
      </c>
      <c r="E456" s="211">
        <v>44363</v>
      </c>
      <c r="F456" t="s">
        <v>218</v>
      </c>
      <c r="G456" t="s">
        <v>219</v>
      </c>
      <c r="H456">
        <v>13</v>
      </c>
      <c r="I456" t="s">
        <v>120</v>
      </c>
      <c r="J456" t="s">
        <v>220</v>
      </c>
      <c r="K456" t="s">
        <v>221</v>
      </c>
      <c r="L456">
        <v>4000</v>
      </c>
      <c r="M456" s="211">
        <v>44376</v>
      </c>
      <c r="N456" s="211">
        <v>44406</v>
      </c>
      <c r="O456" s="212" t="s">
        <v>60</v>
      </c>
      <c r="P456" t="s">
        <v>222</v>
      </c>
      <c r="S456">
        <v>0</v>
      </c>
      <c r="T456">
        <v>0</v>
      </c>
      <c r="U456">
        <v>0</v>
      </c>
      <c r="V456">
        <v>0</v>
      </c>
      <c r="W456">
        <v>0</v>
      </c>
      <c r="X456" s="140">
        <v>4000</v>
      </c>
      <c r="Y456" s="209">
        <f t="shared" si="7"/>
        <v>4000</v>
      </c>
      <c r="Z456">
        <v>0</v>
      </c>
      <c r="AE456"/>
      <c r="AF456"/>
      <c r="AG456" t="s">
        <v>223</v>
      </c>
      <c r="AN456" t="s">
        <v>218</v>
      </c>
      <c r="AO456" t="s">
        <v>224</v>
      </c>
      <c r="AP456" t="s">
        <v>225</v>
      </c>
      <c r="AQ456">
        <v>0.13</v>
      </c>
      <c r="AR456" t="s">
        <v>226</v>
      </c>
    </row>
    <row r="457" hidden="1" spans="1:44">
      <c r="A457" t="s">
        <v>105</v>
      </c>
      <c r="B457" t="s">
        <v>32</v>
      </c>
      <c r="C457" s="209" t="s">
        <v>33</v>
      </c>
      <c r="D457" s="210">
        <v>71020121060807</v>
      </c>
      <c r="E457" s="211">
        <v>44363</v>
      </c>
      <c r="F457" t="s">
        <v>218</v>
      </c>
      <c r="G457" t="s">
        <v>219</v>
      </c>
      <c r="H457">
        <v>14</v>
      </c>
      <c r="I457" t="s">
        <v>120</v>
      </c>
      <c r="J457" t="s">
        <v>220</v>
      </c>
      <c r="K457" t="s">
        <v>221</v>
      </c>
      <c r="L457">
        <v>4000</v>
      </c>
      <c r="M457" s="211">
        <v>44375</v>
      </c>
      <c r="N457" s="211">
        <v>44405</v>
      </c>
      <c r="O457" s="212" t="s">
        <v>60</v>
      </c>
      <c r="P457" t="s">
        <v>222</v>
      </c>
      <c r="S457">
        <v>0</v>
      </c>
      <c r="T457">
        <v>0</v>
      </c>
      <c r="U457">
        <v>0</v>
      </c>
      <c r="V457">
        <v>0</v>
      </c>
      <c r="W457">
        <v>0</v>
      </c>
      <c r="X457" s="140">
        <v>4000</v>
      </c>
      <c r="Y457" s="209">
        <f t="shared" si="7"/>
        <v>4000</v>
      </c>
      <c r="Z457">
        <v>0</v>
      </c>
      <c r="AE457"/>
      <c r="AF457"/>
      <c r="AG457" t="s">
        <v>223</v>
      </c>
      <c r="AN457" t="s">
        <v>218</v>
      </c>
      <c r="AO457" t="s">
        <v>224</v>
      </c>
      <c r="AP457" t="s">
        <v>225</v>
      </c>
      <c r="AQ457">
        <v>0.13</v>
      </c>
      <c r="AR457" t="s">
        <v>226</v>
      </c>
    </row>
    <row r="458" hidden="1" spans="1:44">
      <c r="A458" t="s">
        <v>58</v>
      </c>
      <c r="B458" t="s">
        <v>51</v>
      </c>
      <c r="C458" s="209" t="s">
        <v>52</v>
      </c>
      <c r="D458" s="210">
        <v>71000121061516</v>
      </c>
      <c r="E458" s="211">
        <v>44366</v>
      </c>
      <c r="F458" t="s">
        <v>218</v>
      </c>
      <c r="G458" t="s">
        <v>260</v>
      </c>
      <c r="H458">
        <v>1</v>
      </c>
      <c r="I458" t="s">
        <v>65</v>
      </c>
      <c r="J458" t="s">
        <v>220</v>
      </c>
      <c r="K458" t="s">
        <v>221</v>
      </c>
      <c r="L458">
        <v>26000</v>
      </c>
      <c r="M458" s="211">
        <v>44386</v>
      </c>
      <c r="N458" s="211">
        <v>44392</v>
      </c>
      <c r="O458" s="212" t="s">
        <v>60</v>
      </c>
      <c r="P458" t="s">
        <v>261</v>
      </c>
      <c r="S458">
        <v>2000</v>
      </c>
      <c r="T458">
        <v>2000</v>
      </c>
      <c r="U458">
        <v>0</v>
      </c>
      <c r="V458">
        <v>2000</v>
      </c>
      <c r="W458">
        <v>0</v>
      </c>
      <c r="X458" s="140">
        <v>24000</v>
      </c>
      <c r="Y458" s="209">
        <f t="shared" si="7"/>
        <v>24000</v>
      </c>
      <c r="Z458">
        <v>0</v>
      </c>
      <c r="AE458">
        <v>44389</v>
      </c>
      <c r="AF458">
        <v>44389</v>
      </c>
      <c r="AG458" t="s">
        <v>223</v>
      </c>
      <c r="AN458" t="s">
        <v>218</v>
      </c>
      <c r="AO458" t="s">
        <v>262</v>
      </c>
      <c r="AP458" t="s">
        <v>225</v>
      </c>
      <c r="AQ458">
        <v>0.13</v>
      </c>
      <c r="AR458" t="s">
        <v>238</v>
      </c>
    </row>
    <row r="459" hidden="1" spans="1:44">
      <c r="A459" t="s">
        <v>58</v>
      </c>
      <c r="B459" t="s">
        <v>51</v>
      </c>
      <c r="C459" s="209" t="s">
        <v>52</v>
      </c>
      <c r="D459" s="210">
        <v>71000121061516</v>
      </c>
      <c r="E459" s="211">
        <v>44366</v>
      </c>
      <c r="F459" t="s">
        <v>218</v>
      </c>
      <c r="G459" t="s">
        <v>260</v>
      </c>
      <c r="H459">
        <v>2</v>
      </c>
      <c r="I459" t="s">
        <v>64</v>
      </c>
      <c r="J459" t="s">
        <v>263</v>
      </c>
      <c r="K459" t="s">
        <v>221</v>
      </c>
      <c r="L459">
        <v>50000</v>
      </c>
      <c r="M459" s="211">
        <v>44384</v>
      </c>
      <c r="N459" s="211">
        <v>44393</v>
      </c>
      <c r="O459" s="212" t="s">
        <v>60</v>
      </c>
      <c r="P459" t="s">
        <v>261</v>
      </c>
      <c r="S459">
        <v>0</v>
      </c>
      <c r="T459">
        <v>0</v>
      </c>
      <c r="U459">
        <v>0</v>
      </c>
      <c r="V459">
        <v>0</v>
      </c>
      <c r="W459">
        <v>0</v>
      </c>
      <c r="X459" s="140">
        <v>50000</v>
      </c>
      <c r="Y459" s="209">
        <f t="shared" si="7"/>
        <v>50000</v>
      </c>
      <c r="Z459">
        <v>0</v>
      </c>
      <c r="AE459"/>
      <c r="AF459"/>
      <c r="AG459" t="s">
        <v>223</v>
      </c>
      <c r="AN459" t="s">
        <v>218</v>
      </c>
      <c r="AO459" t="s">
        <v>262</v>
      </c>
      <c r="AP459" t="s">
        <v>225</v>
      </c>
      <c r="AQ459">
        <v>0.13</v>
      </c>
      <c r="AR459" t="s">
        <v>238</v>
      </c>
    </row>
    <row r="460" hidden="1" spans="1:44">
      <c r="A460" t="s">
        <v>58</v>
      </c>
      <c r="B460" t="s">
        <v>51</v>
      </c>
      <c r="C460" s="209" t="s">
        <v>52</v>
      </c>
      <c r="D460" s="210">
        <v>71000121061516</v>
      </c>
      <c r="E460" s="211">
        <v>44366</v>
      </c>
      <c r="F460" t="s">
        <v>218</v>
      </c>
      <c r="G460" t="s">
        <v>260</v>
      </c>
      <c r="H460">
        <v>3</v>
      </c>
      <c r="I460" t="s">
        <v>64</v>
      </c>
      <c r="J460" t="s">
        <v>263</v>
      </c>
      <c r="K460" t="s">
        <v>221</v>
      </c>
      <c r="L460">
        <v>50000</v>
      </c>
      <c r="M460" s="211">
        <v>44377</v>
      </c>
      <c r="N460" s="211">
        <v>44394</v>
      </c>
      <c r="O460" s="212" t="s">
        <v>60</v>
      </c>
      <c r="P460" t="s">
        <v>261</v>
      </c>
      <c r="S460">
        <v>16440</v>
      </c>
      <c r="T460">
        <v>16440</v>
      </c>
      <c r="U460">
        <v>0</v>
      </c>
      <c r="V460">
        <v>16440</v>
      </c>
      <c r="W460">
        <v>0</v>
      </c>
      <c r="X460" s="140">
        <v>33560</v>
      </c>
      <c r="Y460" s="209">
        <f t="shared" si="7"/>
        <v>33560</v>
      </c>
      <c r="Z460">
        <v>0</v>
      </c>
      <c r="AE460">
        <v>44392</v>
      </c>
      <c r="AF460">
        <v>44392</v>
      </c>
      <c r="AG460" t="s">
        <v>223</v>
      </c>
      <c r="AN460" t="s">
        <v>218</v>
      </c>
      <c r="AO460" t="s">
        <v>262</v>
      </c>
      <c r="AP460" t="s">
        <v>225</v>
      </c>
      <c r="AQ460">
        <v>0.13</v>
      </c>
      <c r="AR460" t="s">
        <v>238</v>
      </c>
    </row>
    <row r="461" hidden="1" spans="1:44">
      <c r="A461" t="s">
        <v>58</v>
      </c>
      <c r="B461" t="s">
        <v>51</v>
      </c>
      <c r="C461" s="209" t="s">
        <v>52</v>
      </c>
      <c r="D461" s="210">
        <v>71000121070704</v>
      </c>
      <c r="E461" s="211">
        <v>44384</v>
      </c>
      <c r="F461" t="s">
        <v>218</v>
      </c>
      <c r="G461" t="s">
        <v>260</v>
      </c>
      <c r="H461">
        <v>1</v>
      </c>
      <c r="I461" t="s">
        <v>64</v>
      </c>
      <c r="J461" t="s">
        <v>263</v>
      </c>
      <c r="K461" t="s">
        <v>221</v>
      </c>
      <c r="L461">
        <v>30000</v>
      </c>
      <c r="M461" s="211">
        <v>44398</v>
      </c>
      <c r="O461" s="212" t="s">
        <v>60</v>
      </c>
      <c r="P461" t="s">
        <v>261</v>
      </c>
      <c r="S461">
        <v>0</v>
      </c>
      <c r="T461">
        <v>0</v>
      </c>
      <c r="U461">
        <v>0</v>
      </c>
      <c r="V461">
        <v>0</v>
      </c>
      <c r="W461">
        <v>0</v>
      </c>
      <c r="X461" s="140">
        <v>30000</v>
      </c>
      <c r="Y461" s="209">
        <f t="shared" si="7"/>
        <v>30000</v>
      </c>
      <c r="Z461">
        <v>0</v>
      </c>
      <c r="AE461"/>
      <c r="AF461"/>
      <c r="AG461" t="s">
        <v>223</v>
      </c>
      <c r="AN461" t="s">
        <v>218</v>
      </c>
      <c r="AO461" t="s">
        <v>262</v>
      </c>
      <c r="AP461" t="s">
        <v>225</v>
      </c>
      <c r="AQ461">
        <v>0.13</v>
      </c>
      <c r="AR461" t="s">
        <v>238</v>
      </c>
    </row>
    <row r="462" hidden="1" spans="1:44">
      <c r="A462" t="s">
        <v>58</v>
      </c>
      <c r="B462" t="s">
        <v>51</v>
      </c>
      <c r="C462" s="209" t="s">
        <v>52</v>
      </c>
      <c r="D462" s="210">
        <v>71000121070704</v>
      </c>
      <c r="E462" s="211">
        <v>44384</v>
      </c>
      <c r="F462" t="s">
        <v>218</v>
      </c>
      <c r="G462" t="s">
        <v>260</v>
      </c>
      <c r="H462">
        <v>2</v>
      </c>
      <c r="I462" t="s">
        <v>64</v>
      </c>
      <c r="J462" t="s">
        <v>263</v>
      </c>
      <c r="K462" t="s">
        <v>221</v>
      </c>
      <c r="L462">
        <v>32000</v>
      </c>
      <c r="M462" s="211">
        <v>44405</v>
      </c>
      <c r="O462" s="212" t="s">
        <v>60</v>
      </c>
      <c r="P462" t="s">
        <v>261</v>
      </c>
      <c r="S462">
        <v>0</v>
      </c>
      <c r="T462">
        <v>0</v>
      </c>
      <c r="U462">
        <v>0</v>
      </c>
      <c r="V462">
        <v>0</v>
      </c>
      <c r="W462">
        <v>0</v>
      </c>
      <c r="X462" s="140">
        <v>32000</v>
      </c>
      <c r="Y462" s="209">
        <f t="shared" si="7"/>
        <v>32000</v>
      </c>
      <c r="Z462">
        <v>0</v>
      </c>
      <c r="AE462"/>
      <c r="AF462"/>
      <c r="AG462" t="s">
        <v>223</v>
      </c>
      <c r="AN462" t="s">
        <v>218</v>
      </c>
      <c r="AO462" t="s">
        <v>262</v>
      </c>
      <c r="AP462" t="s">
        <v>225</v>
      </c>
      <c r="AQ462">
        <v>0.13</v>
      </c>
      <c r="AR462" t="s">
        <v>238</v>
      </c>
    </row>
    <row r="463" hidden="1" spans="1:44">
      <c r="A463" t="s">
        <v>58</v>
      </c>
      <c r="B463" t="s">
        <v>51</v>
      </c>
      <c r="C463" s="209" t="s">
        <v>52</v>
      </c>
      <c r="D463" s="210">
        <v>71000121070704</v>
      </c>
      <c r="E463" s="211">
        <v>44384</v>
      </c>
      <c r="F463" t="s">
        <v>218</v>
      </c>
      <c r="G463" t="s">
        <v>260</v>
      </c>
      <c r="H463">
        <v>3</v>
      </c>
      <c r="I463" t="s">
        <v>65</v>
      </c>
      <c r="J463" t="s">
        <v>220</v>
      </c>
      <c r="K463" t="s">
        <v>221</v>
      </c>
      <c r="L463">
        <v>22000</v>
      </c>
      <c r="M463" s="211">
        <v>44397</v>
      </c>
      <c r="O463" s="212" t="s">
        <v>60</v>
      </c>
      <c r="P463" t="s">
        <v>261</v>
      </c>
      <c r="S463">
        <v>0</v>
      </c>
      <c r="T463">
        <v>0</v>
      </c>
      <c r="U463">
        <v>0</v>
      </c>
      <c r="V463">
        <v>0</v>
      </c>
      <c r="W463">
        <v>0</v>
      </c>
      <c r="X463" s="140">
        <v>22000</v>
      </c>
      <c r="Y463" s="209">
        <f t="shared" si="7"/>
        <v>22000</v>
      </c>
      <c r="Z463">
        <v>0</v>
      </c>
      <c r="AE463"/>
      <c r="AF463"/>
      <c r="AG463" t="s">
        <v>223</v>
      </c>
      <c r="AN463" t="s">
        <v>218</v>
      </c>
      <c r="AO463" t="s">
        <v>262</v>
      </c>
      <c r="AP463" t="s">
        <v>225</v>
      </c>
      <c r="AQ463">
        <v>0.13</v>
      </c>
      <c r="AR463" t="s">
        <v>238</v>
      </c>
    </row>
    <row r="464" hidden="1" spans="1:44">
      <c r="A464" t="s">
        <v>58</v>
      </c>
      <c r="B464" t="s">
        <v>51</v>
      </c>
      <c r="C464" s="209" t="s">
        <v>52</v>
      </c>
      <c r="D464" s="210">
        <v>71000121070704</v>
      </c>
      <c r="E464" s="211">
        <v>44384</v>
      </c>
      <c r="F464" t="s">
        <v>218</v>
      </c>
      <c r="G464" t="s">
        <v>260</v>
      </c>
      <c r="H464">
        <v>4</v>
      </c>
      <c r="I464" t="s">
        <v>65</v>
      </c>
      <c r="J464" t="s">
        <v>220</v>
      </c>
      <c r="K464" t="s">
        <v>221</v>
      </c>
      <c r="L464">
        <v>23000</v>
      </c>
      <c r="M464" s="211">
        <v>44404</v>
      </c>
      <c r="O464" s="212" t="s">
        <v>60</v>
      </c>
      <c r="P464" t="s">
        <v>261</v>
      </c>
      <c r="S464">
        <v>0</v>
      </c>
      <c r="T464">
        <v>0</v>
      </c>
      <c r="U464">
        <v>0</v>
      </c>
      <c r="V464">
        <v>0</v>
      </c>
      <c r="W464">
        <v>0</v>
      </c>
      <c r="X464" s="140">
        <v>23000</v>
      </c>
      <c r="Y464" s="209">
        <f t="shared" si="7"/>
        <v>23000</v>
      </c>
      <c r="Z464">
        <v>0</v>
      </c>
      <c r="AE464"/>
      <c r="AF464"/>
      <c r="AG464" t="s">
        <v>223</v>
      </c>
      <c r="AN464" t="s">
        <v>218</v>
      </c>
      <c r="AO464" t="s">
        <v>262</v>
      </c>
      <c r="AP464" t="s">
        <v>225</v>
      </c>
      <c r="AQ464">
        <v>0.13</v>
      </c>
      <c r="AR464" t="s">
        <v>238</v>
      </c>
    </row>
    <row r="465" hidden="1" spans="1:44">
      <c r="A465" t="s">
        <v>58</v>
      </c>
      <c r="B465" t="s">
        <v>51</v>
      </c>
      <c r="C465" s="209" t="s">
        <v>52</v>
      </c>
      <c r="D465" s="210">
        <v>71000121070926</v>
      </c>
      <c r="E465" s="211">
        <v>44387</v>
      </c>
      <c r="F465" t="s">
        <v>218</v>
      </c>
      <c r="G465" t="s">
        <v>260</v>
      </c>
      <c r="H465">
        <v>1</v>
      </c>
      <c r="I465" t="s">
        <v>65</v>
      </c>
      <c r="J465" t="s">
        <v>220</v>
      </c>
      <c r="K465" t="s">
        <v>221</v>
      </c>
      <c r="L465">
        <v>2800</v>
      </c>
      <c r="M465" s="211">
        <v>44403</v>
      </c>
      <c r="O465" s="212" t="s">
        <v>60</v>
      </c>
      <c r="P465" t="s">
        <v>261</v>
      </c>
      <c r="S465">
        <v>0</v>
      </c>
      <c r="T465">
        <v>0</v>
      </c>
      <c r="U465">
        <v>0</v>
      </c>
      <c r="V465">
        <v>0</v>
      </c>
      <c r="W465">
        <v>0</v>
      </c>
      <c r="X465" s="140">
        <v>2800</v>
      </c>
      <c r="Y465" s="209">
        <f t="shared" si="7"/>
        <v>2800</v>
      </c>
      <c r="Z465">
        <v>0</v>
      </c>
      <c r="AE465"/>
      <c r="AF465"/>
      <c r="AG465" t="s">
        <v>223</v>
      </c>
      <c r="AN465" t="s">
        <v>218</v>
      </c>
      <c r="AO465" t="s">
        <v>262</v>
      </c>
      <c r="AP465" t="s">
        <v>225</v>
      </c>
      <c r="AQ465">
        <v>0.13</v>
      </c>
      <c r="AR465" t="s">
        <v>238</v>
      </c>
    </row>
    <row r="466" hidden="1" spans="1:44">
      <c r="A466" t="s">
        <v>58</v>
      </c>
      <c r="B466" t="s">
        <v>51</v>
      </c>
      <c r="C466" s="209" t="s">
        <v>52</v>
      </c>
      <c r="D466" s="210">
        <v>71000121070926</v>
      </c>
      <c r="E466" s="211">
        <v>44387</v>
      </c>
      <c r="F466" t="s">
        <v>218</v>
      </c>
      <c r="G466" t="s">
        <v>260</v>
      </c>
      <c r="H466">
        <v>2</v>
      </c>
      <c r="I466" t="s">
        <v>64</v>
      </c>
      <c r="J466" t="s">
        <v>263</v>
      </c>
      <c r="K466" t="s">
        <v>221</v>
      </c>
      <c r="L466">
        <v>7200</v>
      </c>
      <c r="M466" s="211">
        <v>44467</v>
      </c>
      <c r="O466" s="212" t="s">
        <v>241</v>
      </c>
      <c r="P466" t="s">
        <v>261</v>
      </c>
      <c r="S466">
        <v>0</v>
      </c>
      <c r="T466">
        <v>0</v>
      </c>
      <c r="U466">
        <v>0</v>
      </c>
      <c r="V466">
        <v>0</v>
      </c>
      <c r="W466">
        <v>0</v>
      </c>
      <c r="X466" s="140">
        <v>7200</v>
      </c>
      <c r="Y466" s="209">
        <f t="shared" si="7"/>
        <v>7200</v>
      </c>
      <c r="Z466">
        <v>0</v>
      </c>
      <c r="AE466"/>
      <c r="AF466"/>
      <c r="AG466" t="s">
        <v>223</v>
      </c>
      <c r="AN466" t="s">
        <v>218</v>
      </c>
      <c r="AO466" t="s">
        <v>262</v>
      </c>
      <c r="AP466" t="s">
        <v>225</v>
      </c>
      <c r="AQ466">
        <v>0.13</v>
      </c>
      <c r="AR466" t="s">
        <v>238</v>
      </c>
    </row>
    <row r="467" hidden="1" spans="1:44">
      <c r="A467" t="s">
        <v>58</v>
      </c>
      <c r="B467" t="s">
        <v>51</v>
      </c>
      <c r="C467" s="209" t="s">
        <v>52</v>
      </c>
      <c r="D467" s="210">
        <v>71000121070926</v>
      </c>
      <c r="E467" s="211">
        <v>44387</v>
      </c>
      <c r="F467" t="s">
        <v>218</v>
      </c>
      <c r="G467" t="s">
        <v>260</v>
      </c>
      <c r="H467">
        <v>3</v>
      </c>
      <c r="I467" t="s">
        <v>65</v>
      </c>
      <c r="J467" t="s">
        <v>220</v>
      </c>
      <c r="K467" t="s">
        <v>221</v>
      </c>
      <c r="L467">
        <v>2100</v>
      </c>
      <c r="M467" s="211">
        <v>44417</v>
      </c>
      <c r="O467" s="212" t="s">
        <v>227</v>
      </c>
      <c r="P467" t="s">
        <v>261</v>
      </c>
      <c r="S467">
        <v>0</v>
      </c>
      <c r="T467">
        <v>0</v>
      </c>
      <c r="U467">
        <v>0</v>
      </c>
      <c r="V467">
        <v>0</v>
      </c>
      <c r="W467">
        <v>0</v>
      </c>
      <c r="X467" s="140">
        <v>2100</v>
      </c>
      <c r="Y467" s="209">
        <f t="shared" si="7"/>
        <v>2100</v>
      </c>
      <c r="Z467">
        <v>0</v>
      </c>
      <c r="AE467"/>
      <c r="AF467"/>
      <c r="AG467" t="s">
        <v>223</v>
      </c>
      <c r="AN467" t="s">
        <v>218</v>
      </c>
      <c r="AO467" t="s">
        <v>262</v>
      </c>
      <c r="AP467" t="s">
        <v>225</v>
      </c>
      <c r="AQ467">
        <v>0.13</v>
      </c>
      <c r="AR467" t="s">
        <v>238</v>
      </c>
    </row>
    <row r="468" hidden="1" spans="1:44">
      <c r="A468" t="s">
        <v>58</v>
      </c>
      <c r="B468" t="s">
        <v>51</v>
      </c>
      <c r="C468" s="209" t="s">
        <v>52</v>
      </c>
      <c r="D468" s="210">
        <v>71000121070926</v>
      </c>
      <c r="E468" s="211">
        <v>44387</v>
      </c>
      <c r="F468" t="s">
        <v>218</v>
      </c>
      <c r="G468" t="s">
        <v>260</v>
      </c>
      <c r="H468">
        <v>4</v>
      </c>
      <c r="I468" t="s">
        <v>64</v>
      </c>
      <c r="J468" t="s">
        <v>263</v>
      </c>
      <c r="K468" t="s">
        <v>221</v>
      </c>
      <c r="L468">
        <v>7200</v>
      </c>
      <c r="M468" s="211">
        <v>44467</v>
      </c>
      <c r="O468" s="212" t="s">
        <v>241</v>
      </c>
      <c r="P468" t="s">
        <v>261</v>
      </c>
      <c r="S468">
        <v>0</v>
      </c>
      <c r="T468">
        <v>0</v>
      </c>
      <c r="U468">
        <v>0</v>
      </c>
      <c r="V468">
        <v>0</v>
      </c>
      <c r="W468">
        <v>0</v>
      </c>
      <c r="X468" s="140">
        <v>7200</v>
      </c>
      <c r="Y468" s="209">
        <f t="shared" si="7"/>
        <v>7200</v>
      </c>
      <c r="Z468">
        <v>0</v>
      </c>
      <c r="AE468"/>
      <c r="AF468"/>
      <c r="AG468" t="s">
        <v>223</v>
      </c>
      <c r="AN468" t="s">
        <v>218</v>
      </c>
      <c r="AO468" t="s">
        <v>262</v>
      </c>
      <c r="AP468" t="s">
        <v>225</v>
      </c>
      <c r="AQ468">
        <v>0.13</v>
      </c>
      <c r="AR468" t="s">
        <v>238</v>
      </c>
    </row>
    <row r="469" hidden="1" spans="1:44">
      <c r="A469" t="s">
        <v>58</v>
      </c>
      <c r="B469" t="s">
        <v>51</v>
      </c>
      <c r="C469" s="209" t="s">
        <v>52</v>
      </c>
      <c r="D469" s="210">
        <v>71000121070926</v>
      </c>
      <c r="E469" s="211">
        <v>44387</v>
      </c>
      <c r="F469" t="s">
        <v>218</v>
      </c>
      <c r="G469" t="s">
        <v>260</v>
      </c>
      <c r="H469">
        <v>5</v>
      </c>
      <c r="I469" t="s">
        <v>64</v>
      </c>
      <c r="J469" t="s">
        <v>263</v>
      </c>
      <c r="K469" t="s">
        <v>221</v>
      </c>
      <c r="L469">
        <v>7200</v>
      </c>
      <c r="M469" s="211">
        <v>44460</v>
      </c>
      <c r="O469" s="212" t="s">
        <v>241</v>
      </c>
      <c r="P469" t="s">
        <v>261</v>
      </c>
      <c r="S469">
        <v>0</v>
      </c>
      <c r="T469">
        <v>0</v>
      </c>
      <c r="U469">
        <v>0</v>
      </c>
      <c r="V469">
        <v>0</v>
      </c>
      <c r="W469">
        <v>0</v>
      </c>
      <c r="X469" s="140">
        <v>7200</v>
      </c>
      <c r="Y469" s="209">
        <f t="shared" si="7"/>
        <v>7200</v>
      </c>
      <c r="Z469">
        <v>0</v>
      </c>
      <c r="AE469"/>
      <c r="AF469"/>
      <c r="AG469" t="s">
        <v>223</v>
      </c>
      <c r="AN469" t="s">
        <v>218</v>
      </c>
      <c r="AO469" t="s">
        <v>262</v>
      </c>
      <c r="AP469" t="s">
        <v>225</v>
      </c>
      <c r="AQ469">
        <v>0.13</v>
      </c>
      <c r="AR469" t="s">
        <v>238</v>
      </c>
    </row>
    <row r="470" hidden="1" spans="1:44">
      <c r="A470" t="s">
        <v>58</v>
      </c>
      <c r="B470" t="s">
        <v>51</v>
      </c>
      <c r="C470" s="209" t="s">
        <v>52</v>
      </c>
      <c r="D470" s="210">
        <v>71000121070926</v>
      </c>
      <c r="E470" s="211">
        <v>44387</v>
      </c>
      <c r="F470" t="s">
        <v>218</v>
      </c>
      <c r="G470" t="s">
        <v>260</v>
      </c>
      <c r="H470">
        <v>6</v>
      </c>
      <c r="I470" t="s">
        <v>64</v>
      </c>
      <c r="J470" t="s">
        <v>263</v>
      </c>
      <c r="K470" t="s">
        <v>221</v>
      </c>
      <c r="L470">
        <v>7200</v>
      </c>
      <c r="M470" s="211">
        <v>44460</v>
      </c>
      <c r="O470" s="212" t="s">
        <v>241</v>
      </c>
      <c r="P470" t="s">
        <v>261</v>
      </c>
      <c r="S470">
        <v>0</v>
      </c>
      <c r="T470">
        <v>0</v>
      </c>
      <c r="U470">
        <v>0</v>
      </c>
      <c r="V470">
        <v>0</v>
      </c>
      <c r="W470">
        <v>0</v>
      </c>
      <c r="X470" s="140">
        <v>7200</v>
      </c>
      <c r="Y470" s="209">
        <f t="shared" si="7"/>
        <v>7200</v>
      </c>
      <c r="Z470">
        <v>0</v>
      </c>
      <c r="AE470"/>
      <c r="AF470"/>
      <c r="AG470" t="s">
        <v>223</v>
      </c>
      <c r="AN470" t="s">
        <v>218</v>
      </c>
      <c r="AO470" t="s">
        <v>262</v>
      </c>
      <c r="AP470" t="s">
        <v>225</v>
      </c>
      <c r="AQ470">
        <v>0.13</v>
      </c>
      <c r="AR470" t="s">
        <v>238</v>
      </c>
    </row>
    <row r="471" hidden="1" spans="1:44">
      <c r="A471" t="s">
        <v>58</v>
      </c>
      <c r="B471" t="s">
        <v>51</v>
      </c>
      <c r="C471" s="209" t="s">
        <v>52</v>
      </c>
      <c r="D471" s="210">
        <v>71000121070926</v>
      </c>
      <c r="E471" s="211">
        <v>44387</v>
      </c>
      <c r="F471" t="s">
        <v>218</v>
      </c>
      <c r="G471" t="s">
        <v>260</v>
      </c>
      <c r="H471">
        <v>7</v>
      </c>
      <c r="I471" t="s">
        <v>64</v>
      </c>
      <c r="J471" t="s">
        <v>263</v>
      </c>
      <c r="K471" t="s">
        <v>221</v>
      </c>
      <c r="L471">
        <v>4800</v>
      </c>
      <c r="M471" s="211">
        <v>44452</v>
      </c>
      <c r="O471" s="212" t="s">
        <v>241</v>
      </c>
      <c r="P471" t="s">
        <v>261</v>
      </c>
      <c r="S471">
        <v>0</v>
      </c>
      <c r="T471">
        <v>0</v>
      </c>
      <c r="U471">
        <v>0</v>
      </c>
      <c r="V471">
        <v>0</v>
      </c>
      <c r="W471">
        <v>0</v>
      </c>
      <c r="X471" s="140">
        <v>4800</v>
      </c>
      <c r="Y471" s="209">
        <f t="shared" si="7"/>
        <v>4800</v>
      </c>
      <c r="Z471">
        <v>0</v>
      </c>
      <c r="AE471"/>
      <c r="AF471"/>
      <c r="AG471" t="s">
        <v>223</v>
      </c>
      <c r="AN471" t="s">
        <v>218</v>
      </c>
      <c r="AO471" t="s">
        <v>262</v>
      </c>
      <c r="AP471" t="s">
        <v>225</v>
      </c>
      <c r="AQ471">
        <v>0.13</v>
      </c>
      <c r="AR471" t="s">
        <v>238</v>
      </c>
    </row>
    <row r="472" hidden="1" spans="1:44">
      <c r="A472" t="s">
        <v>58</v>
      </c>
      <c r="B472" t="s">
        <v>51</v>
      </c>
      <c r="C472" s="209" t="s">
        <v>52</v>
      </c>
      <c r="D472" s="210">
        <v>71000121070926</v>
      </c>
      <c r="E472" s="211">
        <v>44387</v>
      </c>
      <c r="F472" t="s">
        <v>218</v>
      </c>
      <c r="G472" t="s">
        <v>260</v>
      </c>
      <c r="H472">
        <v>8</v>
      </c>
      <c r="I472" t="s">
        <v>64</v>
      </c>
      <c r="J472" t="s">
        <v>263</v>
      </c>
      <c r="K472" t="s">
        <v>221</v>
      </c>
      <c r="L472">
        <v>4800</v>
      </c>
      <c r="M472" s="211">
        <v>44445</v>
      </c>
      <c r="O472" s="212" t="s">
        <v>241</v>
      </c>
      <c r="P472" t="s">
        <v>261</v>
      </c>
      <c r="S472">
        <v>0</v>
      </c>
      <c r="T472">
        <v>0</v>
      </c>
      <c r="U472">
        <v>0</v>
      </c>
      <c r="V472">
        <v>0</v>
      </c>
      <c r="W472">
        <v>0</v>
      </c>
      <c r="X472" s="140">
        <v>4800</v>
      </c>
      <c r="Y472" s="209">
        <f t="shared" si="7"/>
        <v>4800</v>
      </c>
      <c r="Z472">
        <v>0</v>
      </c>
      <c r="AE472"/>
      <c r="AF472"/>
      <c r="AG472" t="s">
        <v>223</v>
      </c>
      <c r="AN472" t="s">
        <v>218</v>
      </c>
      <c r="AO472" t="s">
        <v>262</v>
      </c>
      <c r="AP472" t="s">
        <v>225</v>
      </c>
      <c r="AQ472">
        <v>0.13</v>
      </c>
      <c r="AR472" t="s">
        <v>238</v>
      </c>
    </row>
    <row r="473" hidden="1" spans="1:44">
      <c r="A473" t="s">
        <v>58</v>
      </c>
      <c r="B473" t="s">
        <v>51</v>
      </c>
      <c r="C473" s="209" t="s">
        <v>52</v>
      </c>
      <c r="D473" s="210">
        <v>71000121070926</v>
      </c>
      <c r="E473" s="211">
        <v>44387</v>
      </c>
      <c r="F473" t="s">
        <v>218</v>
      </c>
      <c r="G473" t="s">
        <v>260</v>
      </c>
      <c r="H473">
        <v>9</v>
      </c>
      <c r="I473" t="s">
        <v>64</v>
      </c>
      <c r="J473" t="s">
        <v>263</v>
      </c>
      <c r="K473" t="s">
        <v>221</v>
      </c>
      <c r="L473">
        <v>2400</v>
      </c>
      <c r="M473" s="211">
        <v>44438</v>
      </c>
      <c r="O473" s="212" t="s">
        <v>227</v>
      </c>
      <c r="P473" t="s">
        <v>261</v>
      </c>
      <c r="S473">
        <v>0</v>
      </c>
      <c r="T473">
        <v>0</v>
      </c>
      <c r="U473">
        <v>0</v>
      </c>
      <c r="V473">
        <v>0</v>
      </c>
      <c r="W473">
        <v>0</v>
      </c>
      <c r="X473" s="140">
        <v>2400</v>
      </c>
      <c r="Y473" s="209">
        <f t="shared" si="7"/>
        <v>2400</v>
      </c>
      <c r="Z473">
        <v>0</v>
      </c>
      <c r="AE473"/>
      <c r="AF473"/>
      <c r="AG473" t="s">
        <v>223</v>
      </c>
      <c r="AN473" t="s">
        <v>218</v>
      </c>
      <c r="AO473" t="s">
        <v>262</v>
      </c>
      <c r="AP473" t="s">
        <v>225</v>
      </c>
      <c r="AQ473">
        <v>0.13</v>
      </c>
      <c r="AR473" t="s">
        <v>238</v>
      </c>
    </row>
    <row r="474" hidden="1" spans="1:44">
      <c r="A474" t="s">
        <v>58</v>
      </c>
      <c r="B474" t="s">
        <v>51</v>
      </c>
      <c r="C474" s="209" t="s">
        <v>52</v>
      </c>
      <c r="D474" s="210">
        <v>71000121070926</v>
      </c>
      <c r="E474" s="211">
        <v>44387</v>
      </c>
      <c r="F474" t="s">
        <v>218</v>
      </c>
      <c r="G474" t="s">
        <v>260</v>
      </c>
      <c r="H474">
        <v>10</v>
      </c>
      <c r="I474" t="s">
        <v>64</v>
      </c>
      <c r="J474" t="s">
        <v>263</v>
      </c>
      <c r="K474" t="s">
        <v>221</v>
      </c>
      <c r="L474">
        <v>9200</v>
      </c>
      <c r="M474" s="211">
        <v>44431</v>
      </c>
      <c r="O474" s="212" t="s">
        <v>227</v>
      </c>
      <c r="P474" t="s">
        <v>261</v>
      </c>
      <c r="S474">
        <v>0</v>
      </c>
      <c r="T474">
        <v>0</v>
      </c>
      <c r="U474">
        <v>0</v>
      </c>
      <c r="V474">
        <v>0</v>
      </c>
      <c r="W474">
        <v>0</v>
      </c>
      <c r="X474" s="140">
        <v>9200</v>
      </c>
      <c r="Y474" s="209">
        <f t="shared" si="7"/>
        <v>9200</v>
      </c>
      <c r="Z474">
        <v>0</v>
      </c>
      <c r="AE474"/>
      <c r="AF474"/>
      <c r="AG474" t="s">
        <v>223</v>
      </c>
      <c r="AN474" t="s">
        <v>218</v>
      </c>
      <c r="AO474" t="s">
        <v>262</v>
      </c>
      <c r="AP474" t="s">
        <v>225</v>
      </c>
      <c r="AQ474">
        <v>0.13</v>
      </c>
      <c r="AR474" t="s">
        <v>238</v>
      </c>
    </row>
    <row r="475" hidden="1" spans="1:44">
      <c r="A475" t="s">
        <v>58</v>
      </c>
      <c r="B475" t="s">
        <v>51</v>
      </c>
      <c r="C475" s="209" t="s">
        <v>52</v>
      </c>
      <c r="D475" s="210">
        <v>71000121070926</v>
      </c>
      <c r="E475" s="211">
        <v>44387</v>
      </c>
      <c r="F475" t="s">
        <v>218</v>
      </c>
      <c r="G475" t="s">
        <v>260</v>
      </c>
      <c r="H475">
        <v>11</v>
      </c>
      <c r="I475" t="s">
        <v>65</v>
      </c>
      <c r="J475" t="s">
        <v>220</v>
      </c>
      <c r="K475" t="s">
        <v>221</v>
      </c>
      <c r="L475">
        <v>1700</v>
      </c>
      <c r="M475" s="211">
        <v>44469</v>
      </c>
      <c r="O475" s="212" t="s">
        <v>241</v>
      </c>
      <c r="P475" t="s">
        <v>261</v>
      </c>
      <c r="S475">
        <v>0</v>
      </c>
      <c r="T475">
        <v>0</v>
      </c>
      <c r="U475">
        <v>0</v>
      </c>
      <c r="V475">
        <v>0</v>
      </c>
      <c r="W475">
        <v>0</v>
      </c>
      <c r="X475" s="140">
        <v>1700</v>
      </c>
      <c r="Y475" s="209">
        <f t="shared" si="7"/>
        <v>1700</v>
      </c>
      <c r="Z475">
        <v>0</v>
      </c>
      <c r="AE475"/>
      <c r="AF475"/>
      <c r="AG475" t="s">
        <v>223</v>
      </c>
      <c r="AN475" t="s">
        <v>218</v>
      </c>
      <c r="AO475" t="s">
        <v>262</v>
      </c>
      <c r="AP475" t="s">
        <v>225</v>
      </c>
      <c r="AQ475">
        <v>0.13</v>
      </c>
      <c r="AR475" t="s">
        <v>238</v>
      </c>
    </row>
    <row r="476" hidden="1" spans="1:44">
      <c r="A476" t="s">
        <v>58</v>
      </c>
      <c r="B476" t="s">
        <v>51</v>
      </c>
      <c r="C476" s="209" t="s">
        <v>52</v>
      </c>
      <c r="D476" s="210">
        <v>71000121070926</v>
      </c>
      <c r="E476" s="211">
        <v>44387</v>
      </c>
      <c r="F476" t="s">
        <v>218</v>
      </c>
      <c r="G476" t="s">
        <v>260</v>
      </c>
      <c r="H476">
        <v>12</v>
      </c>
      <c r="I476" t="s">
        <v>65</v>
      </c>
      <c r="J476" t="s">
        <v>220</v>
      </c>
      <c r="K476" t="s">
        <v>221</v>
      </c>
      <c r="L476">
        <v>1300</v>
      </c>
      <c r="M476" s="211">
        <v>44459</v>
      </c>
      <c r="O476" s="212" t="s">
        <v>241</v>
      </c>
      <c r="P476" t="s">
        <v>261</v>
      </c>
      <c r="S476">
        <v>0</v>
      </c>
      <c r="T476">
        <v>0</v>
      </c>
      <c r="U476">
        <v>0</v>
      </c>
      <c r="V476">
        <v>0</v>
      </c>
      <c r="W476">
        <v>0</v>
      </c>
      <c r="X476" s="140">
        <v>1300</v>
      </c>
      <c r="Y476" s="209">
        <f t="shared" si="7"/>
        <v>1300</v>
      </c>
      <c r="Z476">
        <v>0</v>
      </c>
      <c r="AE476"/>
      <c r="AF476"/>
      <c r="AG476" t="s">
        <v>223</v>
      </c>
      <c r="AN476" t="s">
        <v>218</v>
      </c>
      <c r="AO476" t="s">
        <v>262</v>
      </c>
      <c r="AP476" t="s">
        <v>225</v>
      </c>
      <c r="AQ476">
        <v>0.13</v>
      </c>
      <c r="AR476" t="s">
        <v>238</v>
      </c>
    </row>
    <row r="477" hidden="1" spans="1:44">
      <c r="A477" t="s">
        <v>58</v>
      </c>
      <c r="B477" t="s">
        <v>51</v>
      </c>
      <c r="C477" s="209" t="s">
        <v>52</v>
      </c>
      <c r="D477" s="210">
        <v>71000121070926</v>
      </c>
      <c r="E477" s="211">
        <v>44387</v>
      </c>
      <c r="F477" t="s">
        <v>218</v>
      </c>
      <c r="G477" t="s">
        <v>260</v>
      </c>
      <c r="H477">
        <v>13</v>
      </c>
      <c r="I477" t="s">
        <v>65</v>
      </c>
      <c r="J477" t="s">
        <v>220</v>
      </c>
      <c r="K477" t="s">
        <v>221</v>
      </c>
      <c r="L477">
        <v>3400</v>
      </c>
      <c r="M477" s="211">
        <v>44452</v>
      </c>
      <c r="O477" s="212" t="s">
        <v>241</v>
      </c>
      <c r="P477" t="s">
        <v>261</v>
      </c>
      <c r="S477">
        <v>0</v>
      </c>
      <c r="T477">
        <v>0</v>
      </c>
      <c r="U477">
        <v>0</v>
      </c>
      <c r="V477">
        <v>0</v>
      </c>
      <c r="W477">
        <v>0</v>
      </c>
      <c r="X477" s="140">
        <v>3400</v>
      </c>
      <c r="Y477" s="209">
        <f t="shared" si="7"/>
        <v>3400</v>
      </c>
      <c r="Z477">
        <v>0</v>
      </c>
      <c r="AE477"/>
      <c r="AF477"/>
      <c r="AG477" t="s">
        <v>223</v>
      </c>
      <c r="AN477" t="s">
        <v>218</v>
      </c>
      <c r="AO477" t="s">
        <v>262</v>
      </c>
      <c r="AP477" t="s">
        <v>225</v>
      </c>
      <c r="AQ477">
        <v>0.13</v>
      </c>
      <c r="AR477" t="s">
        <v>238</v>
      </c>
    </row>
    <row r="478" hidden="1" spans="1:44">
      <c r="A478" t="s">
        <v>58</v>
      </c>
      <c r="B478" t="s">
        <v>51</v>
      </c>
      <c r="C478" s="209" t="s">
        <v>52</v>
      </c>
      <c r="D478" s="210">
        <v>71000121070926</v>
      </c>
      <c r="E478" s="211">
        <v>44387</v>
      </c>
      <c r="F478" t="s">
        <v>218</v>
      </c>
      <c r="G478" t="s">
        <v>260</v>
      </c>
      <c r="H478">
        <v>14</v>
      </c>
      <c r="I478" t="s">
        <v>65</v>
      </c>
      <c r="J478" t="s">
        <v>220</v>
      </c>
      <c r="K478" t="s">
        <v>221</v>
      </c>
      <c r="L478">
        <v>2600</v>
      </c>
      <c r="M478" s="211">
        <v>44452</v>
      </c>
      <c r="O478" s="212" t="s">
        <v>241</v>
      </c>
      <c r="P478" t="s">
        <v>261</v>
      </c>
      <c r="S478">
        <v>0</v>
      </c>
      <c r="T478">
        <v>0</v>
      </c>
      <c r="U478">
        <v>0</v>
      </c>
      <c r="V478">
        <v>0</v>
      </c>
      <c r="W478">
        <v>0</v>
      </c>
      <c r="X478" s="140">
        <v>2600</v>
      </c>
      <c r="Y478" s="209">
        <f t="shared" si="7"/>
        <v>2600</v>
      </c>
      <c r="Z478">
        <v>0</v>
      </c>
      <c r="AE478"/>
      <c r="AF478"/>
      <c r="AG478" t="s">
        <v>223</v>
      </c>
      <c r="AN478" t="s">
        <v>218</v>
      </c>
      <c r="AO478" t="s">
        <v>262</v>
      </c>
      <c r="AP478" t="s">
        <v>225</v>
      </c>
      <c r="AQ478">
        <v>0.13</v>
      </c>
      <c r="AR478" t="s">
        <v>238</v>
      </c>
    </row>
    <row r="479" hidden="1" spans="1:44">
      <c r="A479" t="s">
        <v>58</v>
      </c>
      <c r="B479" t="s">
        <v>51</v>
      </c>
      <c r="C479" s="209" t="s">
        <v>52</v>
      </c>
      <c r="D479" s="210">
        <v>71000121070926</v>
      </c>
      <c r="E479" s="211">
        <v>44387</v>
      </c>
      <c r="F479" t="s">
        <v>218</v>
      </c>
      <c r="G479" t="s">
        <v>260</v>
      </c>
      <c r="H479">
        <v>15</v>
      </c>
      <c r="I479" t="s">
        <v>65</v>
      </c>
      <c r="J479" t="s">
        <v>220</v>
      </c>
      <c r="K479" t="s">
        <v>221</v>
      </c>
      <c r="L479">
        <v>2600</v>
      </c>
      <c r="M479" s="211">
        <v>44445</v>
      </c>
      <c r="O479" s="212" t="s">
        <v>241</v>
      </c>
      <c r="P479" t="s">
        <v>261</v>
      </c>
      <c r="S479">
        <v>0</v>
      </c>
      <c r="T479">
        <v>0</v>
      </c>
      <c r="U479">
        <v>0</v>
      </c>
      <c r="V479">
        <v>0</v>
      </c>
      <c r="W479">
        <v>0</v>
      </c>
      <c r="X479" s="140">
        <v>2600</v>
      </c>
      <c r="Y479" s="209">
        <f t="shared" si="7"/>
        <v>2600</v>
      </c>
      <c r="Z479">
        <v>0</v>
      </c>
      <c r="AE479"/>
      <c r="AF479"/>
      <c r="AG479" t="s">
        <v>223</v>
      </c>
      <c r="AN479" t="s">
        <v>218</v>
      </c>
      <c r="AO479" t="s">
        <v>262</v>
      </c>
      <c r="AP479" t="s">
        <v>225</v>
      </c>
      <c r="AQ479">
        <v>0.13</v>
      </c>
      <c r="AR479" t="s">
        <v>238</v>
      </c>
    </row>
    <row r="480" hidden="1" spans="1:44">
      <c r="A480" t="s">
        <v>58</v>
      </c>
      <c r="B480" t="s">
        <v>51</v>
      </c>
      <c r="C480" s="209" t="s">
        <v>52</v>
      </c>
      <c r="D480" s="210">
        <v>71000121070926</v>
      </c>
      <c r="E480" s="211">
        <v>44387</v>
      </c>
      <c r="F480" t="s">
        <v>218</v>
      </c>
      <c r="G480" t="s">
        <v>260</v>
      </c>
      <c r="H480">
        <v>16</v>
      </c>
      <c r="I480" t="s">
        <v>65</v>
      </c>
      <c r="J480" t="s">
        <v>220</v>
      </c>
      <c r="K480" t="s">
        <v>221</v>
      </c>
      <c r="L480">
        <v>7200</v>
      </c>
      <c r="M480" s="211">
        <v>44439</v>
      </c>
      <c r="O480" s="212" t="s">
        <v>227</v>
      </c>
      <c r="P480" t="s">
        <v>261</v>
      </c>
      <c r="S480">
        <v>0</v>
      </c>
      <c r="T480">
        <v>0</v>
      </c>
      <c r="U480">
        <v>0</v>
      </c>
      <c r="V480">
        <v>0</v>
      </c>
      <c r="W480">
        <v>0</v>
      </c>
      <c r="X480" s="140">
        <v>7200</v>
      </c>
      <c r="Y480" s="209">
        <f t="shared" si="7"/>
        <v>7200</v>
      </c>
      <c r="Z480">
        <v>0</v>
      </c>
      <c r="AE480"/>
      <c r="AF480"/>
      <c r="AG480" t="s">
        <v>223</v>
      </c>
      <c r="AN480" t="s">
        <v>218</v>
      </c>
      <c r="AO480" t="s">
        <v>262</v>
      </c>
      <c r="AP480" t="s">
        <v>225</v>
      </c>
      <c r="AQ480">
        <v>0.13</v>
      </c>
      <c r="AR480" t="s">
        <v>238</v>
      </c>
    </row>
    <row r="481" hidden="1" spans="1:44">
      <c r="A481" t="s">
        <v>58</v>
      </c>
      <c r="B481" t="s">
        <v>51</v>
      </c>
      <c r="C481" s="209" t="s">
        <v>52</v>
      </c>
      <c r="D481" s="210">
        <v>71000121070926</v>
      </c>
      <c r="E481" s="211">
        <v>44387</v>
      </c>
      <c r="F481" t="s">
        <v>218</v>
      </c>
      <c r="G481" t="s">
        <v>260</v>
      </c>
      <c r="H481">
        <v>17</v>
      </c>
      <c r="I481" t="s">
        <v>65</v>
      </c>
      <c r="J481" t="s">
        <v>220</v>
      </c>
      <c r="K481" t="s">
        <v>221</v>
      </c>
      <c r="L481">
        <v>1300</v>
      </c>
      <c r="M481" s="211">
        <v>44424</v>
      </c>
      <c r="O481" s="212" t="s">
        <v>227</v>
      </c>
      <c r="P481" t="s">
        <v>261</v>
      </c>
      <c r="S481">
        <v>0</v>
      </c>
      <c r="T481">
        <v>0</v>
      </c>
      <c r="U481">
        <v>0</v>
      </c>
      <c r="V481">
        <v>0</v>
      </c>
      <c r="W481">
        <v>0</v>
      </c>
      <c r="X481" s="140">
        <v>1300</v>
      </c>
      <c r="Y481" s="209">
        <f t="shared" si="7"/>
        <v>1300</v>
      </c>
      <c r="Z481">
        <v>0</v>
      </c>
      <c r="AE481"/>
      <c r="AF481"/>
      <c r="AG481" t="s">
        <v>223</v>
      </c>
      <c r="AN481" t="s">
        <v>218</v>
      </c>
      <c r="AO481" t="s">
        <v>262</v>
      </c>
      <c r="AP481" t="s">
        <v>225</v>
      </c>
      <c r="AQ481">
        <v>0.13</v>
      </c>
      <c r="AR481" t="s">
        <v>238</v>
      </c>
    </row>
    <row r="482" hidden="1" spans="1:44">
      <c r="A482" t="s">
        <v>58</v>
      </c>
      <c r="B482" t="s">
        <v>38</v>
      </c>
      <c r="C482" s="209" t="s">
        <v>39</v>
      </c>
      <c r="D482" s="210">
        <v>71000121050637</v>
      </c>
      <c r="E482" s="211">
        <v>44326</v>
      </c>
      <c r="F482" t="s">
        <v>218</v>
      </c>
      <c r="G482" t="s">
        <v>260</v>
      </c>
      <c r="H482">
        <v>4</v>
      </c>
      <c r="I482" t="s">
        <v>98</v>
      </c>
      <c r="J482" t="s">
        <v>220</v>
      </c>
      <c r="K482" t="s">
        <v>221</v>
      </c>
      <c r="L482">
        <v>21000</v>
      </c>
      <c r="M482" s="211">
        <v>44351</v>
      </c>
      <c r="N482" s="211">
        <v>44377</v>
      </c>
      <c r="O482" s="212" t="s">
        <v>60</v>
      </c>
      <c r="P482" t="s">
        <v>261</v>
      </c>
      <c r="S482">
        <v>14907</v>
      </c>
      <c r="T482">
        <v>14907</v>
      </c>
      <c r="U482">
        <v>0</v>
      </c>
      <c r="V482">
        <v>14907</v>
      </c>
      <c r="W482">
        <v>0</v>
      </c>
      <c r="X482" s="140">
        <v>6093</v>
      </c>
      <c r="Y482" s="209">
        <f t="shared" si="7"/>
        <v>6093</v>
      </c>
      <c r="Z482">
        <v>0</v>
      </c>
      <c r="AE482">
        <v>44390</v>
      </c>
      <c r="AF482">
        <v>44391</v>
      </c>
      <c r="AG482" t="s">
        <v>223</v>
      </c>
      <c r="AN482" t="s">
        <v>218</v>
      </c>
      <c r="AO482" t="s">
        <v>262</v>
      </c>
      <c r="AP482" t="s">
        <v>264</v>
      </c>
      <c r="AQ482">
        <v>0.13</v>
      </c>
      <c r="AR482" t="s">
        <v>265</v>
      </c>
    </row>
    <row r="483" hidden="1" spans="1:44">
      <c r="A483" t="s">
        <v>58</v>
      </c>
      <c r="B483" t="s">
        <v>38</v>
      </c>
      <c r="C483" s="209" t="s">
        <v>39</v>
      </c>
      <c r="D483" s="210">
        <v>71000121052003</v>
      </c>
      <c r="E483" s="211">
        <v>44340</v>
      </c>
      <c r="F483" t="s">
        <v>218</v>
      </c>
      <c r="G483" t="s">
        <v>260</v>
      </c>
      <c r="H483">
        <v>1</v>
      </c>
      <c r="I483" t="s">
        <v>98</v>
      </c>
      <c r="J483" t="s">
        <v>220</v>
      </c>
      <c r="K483" t="s">
        <v>221</v>
      </c>
      <c r="L483">
        <v>1200</v>
      </c>
      <c r="M483" s="211">
        <v>44370</v>
      </c>
      <c r="O483" s="212" t="s">
        <v>60</v>
      </c>
      <c r="P483" t="s">
        <v>261</v>
      </c>
      <c r="S483">
        <v>0</v>
      </c>
      <c r="T483">
        <v>0</v>
      </c>
      <c r="U483">
        <v>0</v>
      </c>
      <c r="V483">
        <v>0</v>
      </c>
      <c r="W483">
        <v>0</v>
      </c>
      <c r="X483" s="140">
        <v>1200</v>
      </c>
      <c r="Y483" s="209">
        <f t="shared" si="7"/>
        <v>1200</v>
      </c>
      <c r="Z483">
        <v>0</v>
      </c>
      <c r="AE483"/>
      <c r="AF483"/>
      <c r="AG483" t="s">
        <v>223</v>
      </c>
      <c r="AN483" t="s">
        <v>218</v>
      </c>
      <c r="AO483" t="s">
        <v>262</v>
      </c>
      <c r="AP483" t="s">
        <v>264</v>
      </c>
      <c r="AQ483">
        <v>0.13</v>
      </c>
      <c r="AR483" t="s">
        <v>238</v>
      </c>
    </row>
    <row r="484" hidden="1" spans="1:44">
      <c r="A484" t="s">
        <v>58</v>
      </c>
      <c r="B484" t="s">
        <v>38</v>
      </c>
      <c r="C484" s="209" t="s">
        <v>39</v>
      </c>
      <c r="D484" s="210">
        <v>71000121052003</v>
      </c>
      <c r="E484" s="211">
        <v>44340</v>
      </c>
      <c r="F484" t="s">
        <v>218</v>
      </c>
      <c r="G484" t="s">
        <v>260</v>
      </c>
      <c r="H484">
        <v>2</v>
      </c>
      <c r="I484" t="s">
        <v>98</v>
      </c>
      <c r="J484" t="s">
        <v>220</v>
      </c>
      <c r="K484" t="s">
        <v>221</v>
      </c>
      <c r="L484">
        <v>30000</v>
      </c>
      <c r="M484" s="211">
        <v>44362</v>
      </c>
      <c r="O484" s="212" t="s">
        <v>60</v>
      </c>
      <c r="P484" t="s">
        <v>261</v>
      </c>
      <c r="S484">
        <v>0</v>
      </c>
      <c r="T484">
        <v>0</v>
      </c>
      <c r="U484">
        <v>0</v>
      </c>
      <c r="V484">
        <v>0</v>
      </c>
      <c r="W484">
        <v>0</v>
      </c>
      <c r="X484" s="140">
        <v>30000</v>
      </c>
      <c r="Y484" s="209">
        <f t="shared" si="7"/>
        <v>30000</v>
      </c>
      <c r="Z484">
        <v>0</v>
      </c>
      <c r="AE484"/>
      <c r="AF484"/>
      <c r="AG484" t="s">
        <v>223</v>
      </c>
      <c r="AN484" t="s">
        <v>218</v>
      </c>
      <c r="AO484" t="s">
        <v>262</v>
      </c>
      <c r="AP484" t="s">
        <v>264</v>
      </c>
      <c r="AQ484">
        <v>0.13</v>
      </c>
      <c r="AR484" t="s">
        <v>238</v>
      </c>
    </row>
    <row r="485" hidden="1" spans="1:44">
      <c r="A485" t="s">
        <v>58</v>
      </c>
      <c r="B485" t="s">
        <v>38</v>
      </c>
      <c r="C485" s="209" t="s">
        <v>39</v>
      </c>
      <c r="D485" s="210">
        <v>71000121052003</v>
      </c>
      <c r="E485" s="211">
        <v>44340</v>
      </c>
      <c r="F485" t="s">
        <v>218</v>
      </c>
      <c r="G485" t="s">
        <v>260</v>
      </c>
      <c r="H485">
        <v>3</v>
      </c>
      <c r="I485" t="s">
        <v>98</v>
      </c>
      <c r="J485" t="s">
        <v>220</v>
      </c>
      <c r="K485" t="s">
        <v>221</v>
      </c>
      <c r="L485">
        <v>20000</v>
      </c>
      <c r="M485" s="211">
        <v>44357</v>
      </c>
      <c r="O485" s="212" t="s">
        <v>60</v>
      </c>
      <c r="P485" t="s">
        <v>261</v>
      </c>
      <c r="S485">
        <v>0</v>
      </c>
      <c r="T485">
        <v>0</v>
      </c>
      <c r="U485">
        <v>0</v>
      </c>
      <c r="V485">
        <v>0</v>
      </c>
      <c r="W485">
        <v>0</v>
      </c>
      <c r="X485" s="140">
        <v>20000</v>
      </c>
      <c r="Y485" s="209">
        <f t="shared" si="7"/>
        <v>20000</v>
      </c>
      <c r="Z485">
        <v>0</v>
      </c>
      <c r="AE485"/>
      <c r="AF485"/>
      <c r="AG485" t="s">
        <v>223</v>
      </c>
      <c r="AN485" t="s">
        <v>218</v>
      </c>
      <c r="AO485" t="s">
        <v>262</v>
      </c>
      <c r="AP485" t="s">
        <v>264</v>
      </c>
      <c r="AQ485">
        <v>0.13</v>
      </c>
      <c r="AR485" t="s">
        <v>238</v>
      </c>
    </row>
    <row r="486" hidden="1" spans="1:44">
      <c r="A486" t="s">
        <v>58</v>
      </c>
      <c r="B486" t="s">
        <v>38</v>
      </c>
      <c r="C486" s="209" t="s">
        <v>39</v>
      </c>
      <c r="D486" s="210">
        <v>71000121052203</v>
      </c>
      <c r="E486" s="211">
        <v>44342</v>
      </c>
      <c r="F486" t="s">
        <v>218</v>
      </c>
      <c r="G486" t="s">
        <v>260</v>
      </c>
      <c r="H486">
        <v>5</v>
      </c>
      <c r="I486" t="s">
        <v>97</v>
      </c>
      <c r="J486" t="s">
        <v>266</v>
      </c>
      <c r="K486" t="s">
        <v>221</v>
      </c>
      <c r="L486">
        <v>1000</v>
      </c>
      <c r="M486" s="211">
        <v>44382</v>
      </c>
      <c r="O486" s="212" t="s">
        <v>60</v>
      </c>
      <c r="P486" t="s">
        <v>261</v>
      </c>
      <c r="S486">
        <v>0</v>
      </c>
      <c r="T486">
        <v>0</v>
      </c>
      <c r="U486">
        <v>0</v>
      </c>
      <c r="V486">
        <v>0</v>
      </c>
      <c r="W486">
        <v>0</v>
      </c>
      <c r="X486" s="140">
        <v>1000</v>
      </c>
      <c r="Y486" s="209">
        <f t="shared" si="7"/>
        <v>1000</v>
      </c>
      <c r="Z486">
        <v>0</v>
      </c>
      <c r="AE486"/>
      <c r="AF486"/>
      <c r="AG486" t="s">
        <v>223</v>
      </c>
      <c r="AN486" t="s">
        <v>218</v>
      </c>
      <c r="AO486" t="s">
        <v>262</v>
      </c>
      <c r="AP486" t="s">
        <v>264</v>
      </c>
      <c r="AQ486">
        <v>0.13</v>
      </c>
      <c r="AR486" t="s">
        <v>238</v>
      </c>
    </row>
    <row r="487" hidden="1" spans="1:44">
      <c r="A487" t="s">
        <v>58</v>
      </c>
      <c r="B487" t="s">
        <v>38</v>
      </c>
      <c r="C487" s="209" t="s">
        <v>39</v>
      </c>
      <c r="D487" s="210">
        <v>71000121052203</v>
      </c>
      <c r="E487" s="211">
        <v>44342</v>
      </c>
      <c r="F487" t="s">
        <v>218</v>
      </c>
      <c r="G487" t="s">
        <v>260</v>
      </c>
      <c r="H487">
        <v>6</v>
      </c>
      <c r="I487" t="s">
        <v>97</v>
      </c>
      <c r="J487" t="s">
        <v>266</v>
      </c>
      <c r="K487" t="s">
        <v>221</v>
      </c>
      <c r="L487">
        <v>800</v>
      </c>
      <c r="M487" s="211">
        <v>44356</v>
      </c>
      <c r="O487" s="212" t="s">
        <v>60</v>
      </c>
      <c r="P487" t="s">
        <v>261</v>
      </c>
      <c r="S487">
        <v>0</v>
      </c>
      <c r="T487">
        <v>0</v>
      </c>
      <c r="U487">
        <v>0</v>
      </c>
      <c r="V487">
        <v>0</v>
      </c>
      <c r="W487">
        <v>0</v>
      </c>
      <c r="X487" s="140">
        <v>800</v>
      </c>
      <c r="Y487" s="209">
        <f t="shared" si="7"/>
        <v>800</v>
      </c>
      <c r="Z487">
        <v>0</v>
      </c>
      <c r="AE487"/>
      <c r="AF487"/>
      <c r="AG487" t="s">
        <v>223</v>
      </c>
      <c r="AN487" t="s">
        <v>218</v>
      </c>
      <c r="AO487" t="s">
        <v>262</v>
      </c>
      <c r="AP487" t="s">
        <v>264</v>
      </c>
      <c r="AQ487">
        <v>0.13</v>
      </c>
      <c r="AR487" t="s">
        <v>238</v>
      </c>
    </row>
    <row r="488" hidden="1" spans="1:44">
      <c r="A488" t="s">
        <v>58</v>
      </c>
      <c r="B488" t="s">
        <v>38</v>
      </c>
      <c r="C488" s="209" t="s">
        <v>39</v>
      </c>
      <c r="D488" s="210">
        <v>71000121052216</v>
      </c>
      <c r="E488" s="211">
        <v>44342</v>
      </c>
      <c r="F488" t="s">
        <v>218</v>
      </c>
      <c r="G488" t="s">
        <v>260</v>
      </c>
      <c r="H488">
        <v>1</v>
      </c>
      <c r="I488" t="s">
        <v>97</v>
      </c>
      <c r="J488" t="s">
        <v>266</v>
      </c>
      <c r="K488" t="s">
        <v>221</v>
      </c>
      <c r="L488">
        <v>1000</v>
      </c>
      <c r="M488" s="211">
        <v>44343</v>
      </c>
      <c r="N488" s="211">
        <v>44343</v>
      </c>
      <c r="O488" s="212" t="s">
        <v>60</v>
      </c>
      <c r="P488" t="s">
        <v>261</v>
      </c>
      <c r="S488">
        <v>990</v>
      </c>
      <c r="T488">
        <v>990</v>
      </c>
      <c r="U488">
        <v>0</v>
      </c>
      <c r="V488">
        <v>990</v>
      </c>
      <c r="W488">
        <v>990</v>
      </c>
      <c r="X488" s="140">
        <v>10</v>
      </c>
      <c r="Y488" s="209">
        <f t="shared" si="7"/>
        <v>10</v>
      </c>
      <c r="Z488">
        <v>0</v>
      </c>
      <c r="AE488">
        <v>44364</v>
      </c>
      <c r="AF488">
        <v>44364</v>
      </c>
      <c r="AG488" t="s">
        <v>223</v>
      </c>
      <c r="AN488" t="s">
        <v>218</v>
      </c>
      <c r="AO488" t="s">
        <v>262</v>
      </c>
      <c r="AP488" t="s">
        <v>264</v>
      </c>
      <c r="AQ488">
        <v>0.13</v>
      </c>
      <c r="AR488" t="s">
        <v>265</v>
      </c>
    </row>
    <row r="489" hidden="1" spans="1:44">
      <c r="A489" t="s">
        <v>58</v>
      </c>
      <c r="B489" t="s">
        <v>38</v>
      </c>
      <c r="C489" s="209" t="s">
        <v>39</v>
      </c>
      <c r="D489" s="210">
        <v>71000121061521</v>
      </c>
      <c r="E489" s="211">
        <v>44366</v>
      </c>
      <c r="F489" t="s">
        <v>218</v>
      </c>
      <c r="G489" t="s">
        <v>260</v>
      </c>
      <c r="H489">
        <v>6</v>
      </c>
      <c r="I489" t="s">
        <v>98</v>
      </c>
      <c r="J489" t="s">
        <v>220</v>
      </c>
      <c r="K489" t="s">
        <v>221</v>
      </c>
      <c r="L489">
        <v>2400</v>
      </c>
      <c r="M489" s="211">
        <v>44425</v>
      </c>
      <c r="O489" s="212" t="s">
        <v>227</v>
      </c>
      <c r="P489" t="s">
        <v>261</v>
      </c>
      <c r="S489">
        <v>0</v>
      </c>
      <c r="T489">
        <v>0</v>
      </c>
      <c r="U489">
        <v>0</v>
      </c>
      <c r="V489">
        <v>0</v>
      </c>
      <c r="W489">
        <v>0</v>
      </c>
      <c r="X489" s="140">
        <v>2400</v>
      </c>
      <c r="Y489" s="209">
        <f t="shared" si="7"/>
        <v>2400</v>
      </c>
      <c r="Z489">
        <v>0</v>
      </c>
      <c r="AE489"/>
      <c r="AF489"/>
      <c r="AG489" t="s">
        <v>223</v>
      </c>
      <c r="AN489" t="s">
        <v>218</v>
      </c>
      <c r="AO489" t="s">
        <v>262</v>
      </c>
      <c r="AP489" t="s">
        <v>264</v>
      </c>
      <c r="AQ489">
        <v>0.13</v>
      </c>
      <c r="AR489" t="s">
        <v>238</v>
      </c>
    </row>
    <row r="490" hidden="1" spans="1:44">
      <c r="A490" t="s">
        <v>58</v>
      </c>
      <c r="B490" t="s">
        <v>40</v>
      </c>
      <c r="C490" s="209" t="s">
        <v>41</v>
      </c>
      <c r="D490" s="210">
        <v>71000121051494</v>
      </c>
      <c r="E490" s="211">
        <v>44334</v>
      </c>
      <c r="F490" t="s">
        <v>218</v>
      </c>
      <c r="G490" t="s">
        <v>260</v>
      </c>
      <c r="H490">
        <v>1</v>
      </c>
      <c r="I490" t="s">
        <v>96</v>
      </c>
      <c r="J490" t="s">
        <v>220</v>
      </c>
      <c r="K490" t="s">
        <v>221</v>
      </c>
      <c r="L490">
        <v>11600</v>
      </c>
      <c r="M490" s="211">
        <v>44337</v>
      </c>
      <c r="N490" s="211">
        <v>44343</v>
      </c>
      <c r="O490" s="212" t="s">
        <v>60</v>
      </c>
      <c r="P490" t="s">
        <v>261</v>
      </c>
      <c r="S490">
        <v>8644</v>
      </c>
      <c r="T490">
        <v>8639</v>
      </c>
      <c r="U490">
        <v>5</v>
      </c>
      <c r="V490">
        <v>8639</v>
      </c>
      <c r="W490">
        <v>696</v>
      </c>
      <c r="X490" s="140">
        <v>2961</v>
      </c>
      <c r="Y490" s="209">
        <f t="shared" si="7"/>
        <v>2956</v>
      </c>
      <c r="Z490">
        <v>0</v>
      </c>
      <c r="AE490">
        <v>44382</v>
      </c>
      <c r="AF490">
        <v>44383</v>
      </c>
      <c r="AG490" t="s">
        <v>223</v>
      </c>
      <c r="AN490" t="s">
        <v>218</v>
      </c>
      <c r="AO490" t="s">
        <v>262</v>
      </c>
      <c r="AP490" t="s">
        <v>264</v>
      </c>
      <c r="AQ490">
        <v>0.13</v>
      </c>
      <c r="AR490" t="s">
        <v>265</v>
      </c>
    </row>
    <row r="491" hidden="1" spans="1:44">
      <c r="A491" t="s">
        <v>58</v>
      </c>
      <c r="B491" t="s">
        <v>40</v>
      </c>
      <c r="C491" s="209" t="s">
        <v>41</v>
      </c>
      <c r="D491" s="210">
        <v>71000121052002</v>
      </c>
      <c r="E491" s="211">
        <v>44340</v>
      </c>
      <c r="F491" t="s">
        <v>218</v>
      </c>
      <c r="G491" t="s">
        <v>260</v>
      </c>
      <c r="H491">
        <v>1</v>
      </c>
      <c r="I491" t="s">
        <v>96</v>
      </c>
      <c r="J491" t="s">
        <v>220</v>
      </c>
      <c r="K491" t="s">
        <v>221</v>
      </c>
      <c r="L491">
        <v>33400</v>
      </c>
      <c r="M491" s="211">
        <v>44357</v>
      </c>
      <c r="N491" s="211">
        <v>44364</v>
      </c>
      <c r="O491" s="212" t="s">
        <v>60</v>
      </c>
      <c r="P491" t="s">
        <v>261</v>
      </c>
      <c r="S491">
        <v>14521</v>
      </c>
      <c r="T491">
        <v>14521</v>
      </c>
      <c r="U491">
        <v>0</v>
      </c>
      <c r="V491">
        <v>14521</v>
      </c>
      <c r="W491">
        <v>3385</v>
      </c>
      <c r="X491" s="140">
        <v>18879</v>
      </c>
      <c r="Y491" s="209">
        <f t="shared" si="7"/>
        <v>18879</v>
      </c>
      <c r="Z491">
        <v>0</v>
      </c>
      <c r="AE491">
        <v>44388</v>
      </c>
      <c r="AF491">
        <v>44388</v>
      </c>
      <c r="AG491" t="s">
        <v>223</v>
      </c>
      <c r="AN491" t="s">
        <v>218</v>
      </c>
      <c r="AO491" t="s">
        <v>262</v>
      </c>
      <c r="AP491" t="s">
        <v>264</v>
      </c>
      <c r="AQ491">
        <v>0.13</v>
      </c>
      <c r="AR491" t="s">
        <v>238</v>
      </c>
    </row>
    <row r="492" hidden="1" spans="1:44">
      <c r="A492" t="s">
        <v>58</v>
      </c>
      <c r="B492" t="s">
        <v>40</v>
      </c>
      <c r="C492" s="209" t="s">
        <v>41</v>
      </c>
      <c r="D492" s="210">
        <v>71000121052002</v>
      </c>
      <c r="E492" s="211">
        <v>44340</v>
      </c>
      <c r="F492" t="s">
        <v>245</v>
      </c>
      <c r="G492" t="s">
        <v>260</v>
      </c>
      <c r="H492">
        <v>3</v>
      </c>
      <c r="I492" t="s">
        <v>95</v>
      </c>
      <c r="J492" t="s">
        <v>254</v>
      </c>
      <c r="K492" t="s">
        <v>221</v>
      </c>
      <c r="L492">
        <v>20000</v>
      </c>
      <c r="M492" s="211">
        <v>44358</v>
      </c>
      <c r="N492" s="211">
        <v>44358</v>
      </c>
      <c r="O492" s="212" t="s">
        <v>60</v>
      </c>
      <c r="P492" t="s">
        <v>261</v>
      </c>
      <c r="S492">
        <v>20000</v>
      </c>
      <c r="T492">
        <v>14998</v>
      </c>
      <c r="U492">
        <v>0</v>
      </c>
      <c r="V492">
        <v>14998</v>
      </c>
      <c r="W492">
        <v>5544</v>
      </c>
      <c r="X492" s="140">
        <v>5002</v>
      </c>
      <c r="Y492" s="209">
        <f t="shared" si="7"/>
        <v>0</v>
      </c>
      <c r="Z492">
        <v>0</v>
      </c>
      <c r="AE492" s="211">
        <v>44391</v>
      </c>
      <c r="AF492" s="211">
        <v>44388</v>
      </c>
      <c r="AG492" t="s">
        <v>223</v>
      </c>
      <c r="AN492" t="s">
        <v>218</v>
      </c>
      <c r="AO492" t="s">
        <v>262</v>
      </c>
      <c r="AP492" t="s">
        <v>264</v>
      </c>
      <c r="AQ492">
        <v>0.13</v>
      </c>
      <c r="AR492" t="s">
        <v>238</v>
      </c>
    </row>
    <row r="493" hidden="1" spans="1:44">
      <c r="A493" t="s">
        <v>58</v>
      </c>
      <c r="B493" t="s">
        <v>40</v>
      </c>
      <c r="C493" s="209" t="s">
        <v>41</v>
      </c>
      <c r="D493" s="210">
        <v>71000121052580</v>
      </c>
      <c r="E493" s="211">
        <v>44347</v>
      </c>
      <c r="F493" t="s">
        <v>218</v>
      </c>
      <c r="G493" t="s">
        <v>260</v>
      </c>
      <c r="H493">
        <v>7</v>
      </c>
      <c r="I493" t="s">
        <v>95</v>
      </c>
      <c r="J493" t="s">
        <v>254</v>
      </c>
      <c r="K493" t="s">
        <v>221</v>
      </c>
      <c r="L493">
        <v>7200</v>
      </c>
      <c r="M493" s="211">
        <v>44364</v>
      </c>
      <c r="N493" s="211">
        <v>44364</v>
      </c>
      <c r="O493" s="212" t="s">
        <v>60</v>
      </c>
      <c r="P493" t="s">
        <v>261</v>
      </c>
      <c r="S493">
        <v>3658</v>
      </c>
      <c r="T493">
        <v>2540</v>
      </c>
      <c r="U493">
        <v>0</v>
      </c>
      <c r="V493">
        <v>2540</v>
      </c>
      <c r="W493">
        <v>0</v>
      </c>
      <c r="X493" s="140">
        <v>4660</v>
      </c>
      <c r="Y493" s="209">
        <f t="shared" si="7"/>
        <v>3542</v>
      </c>
      <c r="Z493">
        <v>0</v>
      </c>
      <c r="AE493">
        <v>44391</v>
      </c>
      <c r="AF493">
        <v>44366</v>
      </c>
      <c r="AG493" t="s">
        <v>223</v>
      </c>
      <c r="AN493" t="s">
        <v>218</v>
      </c>
      <c r="AO493" t="s">
        <v>262</v>
      </c>
      <c r="AP493" t="s">
        <v>264</v>
      </c>
      <c r="AQ493">
        <v>0.13</v>
      </c>
      <c r="AR493" t="s">
        <v>265</v>
      </c>
    </row>
    <row r="494" hidden="1" spans="1:44">
      <c r="A494" t="s">
        <v>58</v>
      </c>
      <c r="B494" t="s">
        <v>40</v>
      </c>
      <c r="C494" s="209" t="s">
        <v>41</v>
      </c>
      <c r="D494" s="210">
        <v>71000121060492</v>
      </c>
      <c r="E494" s="211">
        <v>44354</v>
      </c>
      <c r="F494" t="s">
        <v>218</v>
      </c>
      <c r="G494" t="s">
        <v>260</v>
      </c>
      <c r="H494">
        <v>1</v>
      </c>
      <c r="I494" t="s">
        <v>95</v>
      </c>
      <c r="J494" t="s">
        <v>254</v>
      </c>
      <c r="K494" t="s">
        <v>221</v>
      </c>
      <c r="L494">
        <v>1700</v>
      </c>
      <c r="M494" s="211">
        <v>44400</v>
      </c>
      <c r="N494" s="211">
        <v>44400</v>
      </c>
      <c r="O494" s="212" t="s">
        <v>60</v>
      </c>
      <c r="P494" t="s">
        <v>261</v>
      </c>
      <c r="S494">
        <v>0</v>
      </c>
      <c r="T494">
        <v>0</v>
      </c>
      <c r="U494">
        <v>0</v>
      </c>
      <c r="V494">
        <v>0</v>
      </c>
      <c r="W494">
        <v>0</v>
      </c>
      <c r="X494" s="140">
        <v>1700</v>
      </c>
      <c r="Y494" s="209">
        <f t="shared" si="7"/>
        <v>1700</v>
      </c>
      <c r="Z494">
        <v>0</v>
      </c>
      <c r="AE494"/>
      <c r="AF494"/>
      <c r="AG494" t="s">
        <v>223</v>
      </c>
      <c r="AN494" t="s">
        <v>218</v>
      </c>
      <c r="AO494" t="s">
        <v>262</v>
      </c>
      <c r="AP494" t="s">
        <v>264</v>
      </c>
      <c r="AQ494">
        <v>0.13</v>
      </c>
      <c r="AR494" t="s">
        <v>238</v>
      </c>
    </row>
    <row r="495" hidden="1" spans="1:44">
      <c r="A495" t="s">
        <v>58</v>
      </c>
      <c r="B495" t="s">
        <v>40</v>
      </c>
      <c r="C495" s="209" t="s">
        <v>41</v>
      </c>
      <c r="D495" s="210">
        <v>71000121061518</v>
      </c>
      <c r="E495" s="211">
        <v>44366</v>
      </c>
      <c r="F495" t="s">
        <v>218</v>
      </c>
      <c r="G495" t="s">
        <v>260</v>
      </c>
      <c r="H495">
        <v>1</v>
      </c>
      <c r="I495" t="s">
        <v>95</v>
      </c>
      <c r="J495" t="s">
        <v>254</v>
      </c>
      <c r="K495" t="s">
        <v>221</v>
      </c>
      <c r="L495">
        <v>1800</v>
      </c>
      <c r="M495" s="211">
        <v>44410</v>
      </c>
      <c r="N495" s="211">
        <v>44410</v>
      </c>
      <c r="O495" s="212" t="s">
        <v>227</v>
      </c>
      <c r="P495" t="s">
        <v>261</v>
      </c>
      <c r="S495">
        <v>0</v>
      </c>
      <c r="T495">
        <v>0</v>
      </c>
      <c r="U495">
        <v>0</v>
      </c>
      <c r="V495">
        <v>0</v>
      </c>
      <c r="W495">
        <v>0</v>
      </c>
      <c r="X495" s="140">
        <v>1800</v>
      </c>
      <c r="Y495" s="209">
        <f t="shared" si="7"/>
        <v>1800</v>
      </c>
      <c r="Z495">
        <v>0</v>
      </c>
      <c r="AE495"/>
      <c r="AF495"/>
      <c r="AG495" t="s">
        <v>223</v>
      </c>
      <c r="AN495" t="s">
        <v>218</v>
      </c>
      <c r="AO495" t="s">
        <v>262</v>
      </c>
      <c r="AP495" t="s">
        <v>264</v>
      </c>
      <c r="AQ495">
        <v>0.13</v>
      </c>
      <c r="AR495" t="s">
        <v>238</v>
      </c>
    </row>
    <row r="496" hidden="1" spans="1:44">
      <c r="A496" t="s">
        <v>58</v>
      </c>
      <c r="B496" t="s">
        <v>40</v>
      </c>
      <c r="C496" s="209" t="s">
        <v>41</v>
      </c>
      <c r="D496" s="210">
        <v>71000121062088</v>
      </c>
      <c r="E496" s="211">
        <v>44373</v>
      </c>
      <c r="F496" t="s">
        <v>218</v>
      </c>
      <c r="G496" t="s">
        <v>260</v>
      </c>
      <c r="H496">
        <v>1</v>
      </c>
      <c r="I496" t="s">
        <v>95</v>
      </c>
      <c r="J496" t="s">
        <v>254</v>
      </c>
      <c r="K496" t="s">
        <v>221</v>
      </c>
      <c r="L496">
        <v>2200</v>
      </c>
      <c r="M496" s="211">
        <v>44411</v>
      </c>
      <c r="N496" s="211">
        <v>44411</v>
      </c>
      <c r="O496" s="212" t="s">
        <v>227</v>
      </c>
      <c r="P496" t="s">
        <v>261</v>
      </c>
      <c r="S496">
        <v>0</v>
      </c>
      <c r="T496">
        <v>0</v>
      </c>
      <c r="U496">
        <v>0</v>
      </c>
      <c r="V496">
        <v>0</v>
      </c>
      <c r="W496">
        <v>0</v>
      </c>
      <c r="X496" s="140">
        <v>2200</v>
      </c>
      <c r="Y496" s="209">
        <f t="shared" si="7"/>
        <v>2200</v>
      </c>
      <c r="Z496">
        <v>0</v>
      </c>
      <c r="AE496"/>
      <c r="AF496"/>
      <c r="AG496" t="s">
        <v>223</v>
      </c>
      <c r="AN496" t="s">
        <v>218</v>
      </c>
      <c r="AO496" t="s">
        <v>262</v>
      </c>
      <c r="AP496" t="s">
        <v>264</v>
      </c>
      <c r="AQ496">
        <v>0.13</v>
      </c>
      <c r="AR496" t="s">
        <v>265</v>
      </c>
    </row>
    <row r="497" hidden="1" spans="1:44">
      <c r="A497" t="s">
        <v>58</v>
      </c>
      <c r="B497" t="s">
        <v>40</v>
      </c>
      <c r="C497" s="209" t="s">
        <v>41</v>
      </c>
      <c r="D497" s="210">
        <v>71000121070138</v>
      </c>
      <c r="E497" s="211">
        <v>44379</v>
      </c>
      <c r="F497" t="s">
        <v>218</v>
      </c>
      <c r="G497" t="s">
        <v>260</v>
      </c>
      <c r="H497">
        <v>2</v>
      </c>
      <c r="I497" t="s">
        <v>95</v>
      </c>
      <c r="J497" t="s">
        <v>254</v>
      </c>
      <c r="K497" t="s">
        <v>221</v>
      </c>
      <c r="L497">
        <v>3700</v>
      </c>
      <c r="M497" s="211">
        <v>44404</v>
      </c>
      <c r="N497" s="211">
        <v>44404</v>
      </c>
      <c r="O497" s="212" t="s">
        <v>60</v>
      </c>
      <c r="P497" t="s">
        <v>261</v>
      </c>
      <c r="S497">
        <v>0</v>
      </c>
      <c r="T497">
        <v>0</v>
      </c>
      <c r="U497">
        <v>0</v>
      </c>
      <c r="V497">
        <v>0</v>
      </c>
      <c r="W497">
        <v>0</v>
      </c>
      <c r="X497" s="140">
        <v>3700</v>
      </c>
      <c r="Y497" s="209">
        <f t="shared" si="7"/>
        <v>3700</v>
      </c>
      <c r="Z497">
        <v>0</v>
      </c>
      <c r="AE497"/>
      <c r="AF497"/>
      <c r="AG497" t="s">
        <v>223</v>
      </c>
      <c r="AN497" t="s">
        <v>218</v>
      </c>
      <c r="AO497" t="s">
        <v>262</v>
      </c>
      <c r="AP497" t="s">
        <v>264</v>
      </c>
      <c r="AQ497">
        <v>0.13</v>
      </c>
      <c r="AR497" t="s">
        <v>238</v>
      </c>
    </row>
    <row r="498" hidden="1" spans="1:44">
      <c r="A498" t="s">
        <v>58</v>
      </c>
      <c r="B498" t="s">
        <v>40</v>
      </c>
      <c r="C498" s="209" t="s">
        <v>41</v>
      </c>
      <c r="D498" s="210">
        <v>71000121070925</v>
      </c>
      <c r="E498" s="211">
        <v>44387</v>
      </c>
      <c r="F498" t="s">
        <v>218</v>
      </c>
      <c r="G498" t="s">
        <v>260</v>
      </c>
      <c r="H498">
        <v>4</v>
      </c>
      <c r="I498" t="s">
        <v>95</v>
      </c>
      <c r="J498" t="s">
        <v>254</v>
      </c>
      <c r="K498" t="s">
        <v>221</v>
      </c>
      <c r="L498">
        <v>2500</v>
      </c>
      <c r="M498" s="211">
        <v>44414</v>
      </c>
      <c r="N498" s="211">
        <v>44414</v>
      </c>
      <c r="O498" s="212" t="s">
        <v>227</v>
      </c>
      <c r="P498" t="s">
        <v>261</v>
      </c>
      <c r="S498">
        <v>0</v>
      </c>
      <c r="T498">
        <v>0</v>
      </c>
      <c r="U498">
        <v>0</v>
      </c>
      <c r="V498">
        <v>0</v>
      </c>
      <c r="W498">
        <v>0</v>
      </c>
      <c r="X498" s="140">
        <v>2500</v>
      </c>
      <c r="Y498" s="209">
        <f t="shared" si="7"/>
        <v>2500</v>
      </c>
      <c r="Z498">
        <v>0</v>
      </c>
      <c r="AE498"/>
      <c r="AF498"/>
      <c r="AG498" t="s">
        <v>223</v>
      </c>
      <c r="AN498" t="s">
        <v>218</v>
      </c>
      <c r="AO498" t="s">
        <v>262</v>
      </c>
      <c r="AP498" t="s">
        <v>264</v>
      </c>
      <c r="AQ498">
        <v>0.13</v>
      </c>
      <c r="AR498" t="s">
        <v>238</v>
      </c>
    </row>
    <row r="499" hidden="1" spans="1:44">
      <c r="A499" t="s">
        <v>58</v>
      </c>
      <c r="B499" t="s">
        <v>18</v>
      </c>
      <c r="C499" s="209" t="s">
        <v>19</v>
      </c>
      <c r="D499" s="210">
        <v>71000121061165</v>
      </c>
      <c r="E499" s="211">
        <v>44362</v>
      </c>
      <c r="F499" t="s">
        <v>218</v>
      </c>
      <c r="G499" t="s">
        <v>260</v>
      </c>
      <c r="H499">
        <v>1</v>
      </c>
      <c r="I499" t="s">
        <v>103</v>
      </c>
      <c r="J499" t="s">
        <v>220</v>
      </c>
      <c r="K499" t="s">
        <v>221</v>
      </c>
      <c r="L499">
        <v>23000</v>
      </c>
      <c r="M499" s="211">
        <v>44365</v>
      </c>
      <c r="N499" s="211">
        <v>44394</v>
      </c>
      <c r="O499" s="212" t="s">
        <v>60</v>
      </c>
      <c r="P499" t="s">
        <v>261</v>
      </c>
      <c r="S499">
        <v>17709</v>
      </c>
      <c r="T499">
        <v>16009</v>
      </c>
      <c r="U499">
        <v>0</v>
      </c>
      <c r="V499">
        <v>16009</v>
      </c>
      <c r="W499">
        <v>0</v>
      </c>
      <c r="X499" s="140">
        <v>6991</v>
      </c>
      <c r="Y499" s="209">
        <f t="shared" si="7"/>
        <v>5291</v>
      </c>
      <c r="Z499">
        <v>0</v>
      </c>
      <c r="AE499">
        <v>44393</v>
      </c>
      <c r="AF499">
        <v>44392</v>
      </c>
      <c r="AG499" t="s">
        <v>223</v>
      </c>
      <c r="AN499" t="s">
        <v>218</v>
      </c>
      <c r="AO499" t="s">
        <v>262</v>
      </c>
      <c r="AP499" t="s">
        <v>225</v>
      </c>
      <c r="AQ499">
        <v>0.13</v>
      </c>
      <c r="AR499" t="s">
        <v>238</v>
      </c>
    </row>
    <row r="500" hidden="1" spans="1:44">
      <c r="A500" t="s">
        <v>58</v>
      </c>
      <c r="B500" t="s">
        <v>18</v>
      </c>
      <c r="C500" s="209" t="s">
        <v>19</v>
      </c>
      <c r="D500" s="210">
        <v>71000121061525</v>
      </c>
      <c r="E500" s="211">
        <v>44366</v>
      </c>
      <c r="F500" t="s">
        <v>218</v>
      </c>
      <c r="G500" t="s">
        <v>260</v>
      </c>
      <c r="H500">
        <v>1</v>
      </c>
      <c r="I500" t="s">
        <v>103</v>
      </c>
      <c r="J500" t="s">
        <v>220</v>
      </c>
      <c r="K500" t="s">
        <v>221</v>
      </c>
      <c r="L500">
        <v>11400</v>
      </c>
      <c r="M500" s="211">
        <v>44375</v>
      </c>
      <c r="N500" s="211">
        <v>44393</v>
      </c>
      <c r="O500" s="212" t="s">
        <v>60</v>
      </c>
      <c r="P500" t="s">
        <v>261</v>
      </c>
      <c r="S500">
        <v>0</v>
      </c>
      <c r="T500">
        <v>0</v>
      </c>
      <c r="U500">
        <v>0</v>
      </c>
      <c r="V500">
        <v>0</v>
      </c>
      <c r="W500">
        <v>0</v>
      </c>
      <c r="X500" s="140">
        <v>11400</v>
      </c>
      <c r="Y500" s="209">
        <f t="shared" si="7"/>
        <v>11400</v>
      </c>
      <c r="Z500">
        <v>0</v>
      </c>
      <c r="AE500"/>
      <c r="AF500"/>
      <c r="AG500" t="s">
        <v>223</v>
      </c>
      <c r="AN500" t="s">
        <v>218</v>
      </c>
      <c r="AO500" t="s">
        <v>262</v>
      </c>
      <c r="AP500" t="s">
        <v>225</v>
      </c>
      <c r="AQ500">
        <v>0.13</v>
      </c>
      <c r="AR500" t="s">
        <v>238</v>
      </c>
    </row>
    <row r="501" hidden="1" spans="1:44">
      <c r="A501" t="s">
        <v>58</v>
      </c>
      <c r="B501" t="s">
        <v>18</v>
      </c>
      <c r="C501" s="209" t="s">
        <v>19</v>
      </c>
      <c r="D501" s="210">
        <v>71000121062095</v>
      </c>
      <c r="E501" s="211">
        <v>44373</v>
      </c>
      <c r="F501" t="s">
        <v>218</v>
      </c>
      <c r="G501" t="s">
        <v>260</v>
      </c>
      <c r="H501">
        <v>1</v>
      </c>
      <c r="I501" t="s">
        <v>103</v>
      </c>
      <c r="J501" t="s">
        <v>220</v>
      </c>
      <c r="K501" t="s">
        <v>221</v>
      </c>
      <c r="L501">
        <v>11500</v>
      </c>
      <c r="M501" s="211">
        <v>44382</v>
      </c>
      <c r="N501" s="211">
        <v>44396</v>
      </c>
      <c r="O501" s="212" t="s">
        <v>60</v>
      </c>
      <c r="P501" t="s">
        <v>261</v>
      </c>
      <c r="S501">
        <v>0</v>
      </c>
      <c r="T501">
        <v>0</v>
      </c>
      <c r="U501">
        <v>0</v>
      </c>
      <c r="V501">
        <v>0</v>
      </c>
      <c r="W501">
        <v>0</v>
      </c>
      <c r="X501" s="140">
        <v>11500</v>
      </c>
      <c r="Y501" s="209">
        <f t="shared" si="7"/>
        <v>11500</v>
      </c>
      <c r="Z501">
        <v>0</v>
      </c>
      <c r="AE501"/>
      <c r="AF501"/>
      <c r="AG501" t="s">
        <v>223</v>
      </c>
      <c r="AN501" t="s">
        <v>218</v>
      </c>
      <c r="AO501" t="s">
        <v>262</v>
      </c>
      <c r="AP501" t="s">
        <v>225</v>
      </c>
      <c r="AQ501">
        <v>0.13</v>
      </c>
      <c r="AR501" t="s">
        <v>238</v>
      </c>
    </row>
    <row r="502" hidden="1" spans="1:44">
      <c r="A502" t="s">
        <v>58</v>
      </c>
      <c r="B502" t="s">
        <v>18</v>
      </c>
      <c r="C502" s="209" t="s">
        <v>19</v>
      </c>
      <c r="D502" s="210">
        <v>71000121070144</v>
      </c>
      <c r="E502" s="211">
        <v>44379</v>
      </c>
      <c r="F502" t="s">
        <v>218</v>
      </c>
      <c r="G502" t="s">
        <v>260</v>
      </c>
      <c r="H502">
        <v>1</v>
      </c>
      <c r="I502" t="s">
        <v>103</v>
      </c>
      <c r="J502" t="s">
        <v>220</v>
      </c>
      <c r="K502" t="s">
        <v>221</v>
      </c>
      <c r="L502">
        <v>12400</v>
      </c>
      <c r="M502" s="211">
        <v>44399</v>
      </c>
      <c r="N502" s="211">
        <v>44399</v>
      </c>
      <c r="O502" s="212" t="s">
        <v>60</v>
      </c>
      <c r="P502" t="s">
        <v>261</v>
      </c>
      <c r="S502">
        <v>0</v>
      </c>
      <c r="T502">
        <v>0</v>
      </c>
      <c r="U502">
        <v>0</v>
      </c>
      <c r="V502">
        <v>0</v>
      </c>
      <c r="W502">
        <v>0</v>
      </c>
      <c r="X502" s="140">
        <v>12400</v>
      </c>
      <c r="Y502" s="209">
        <f t="shared" si="7"/>
        <v>12400</v>
      </c>
      <c r="Z502">
        <v>0</v>
      </c>
      <c r="AE502"/>
      <c r="AF502"/>
      <c r="AG502" t="s">
        <v>223</v>
      </c>
      <c r="AN502" t="s">
        <v>218</v>
      </c>
      <c r="AO502" t="s">
        <v>262</v>
      </c>
      <c r="AP502" t="s">
        <v>225</v>
      </c>
      <c r="AQ502">
        <v>0.13</v>
      </c>
      <c r="AR502" t="s">
        <v>238</v>
      </c>
    </row>
    <row r="503" hidden="1" spans="1:44">
      <c r="A503" t="s">
        <v>58</v>
      </c>
      <c r="B503" t="s">
        <v>18</v>
      </c>
      <c r="C503" s="209" t="s">
        <v>19</v>
      </c>
      <c r="D503" s="210">
        <v>71000121070795</v>
      </c>
      <c r="E503" s="211">
        <v>44385</v>
      </c>
      <c r="F503" t="s">
        <v>218</v>
      </c>
      <c r="G503" t="s">
        <v>260</v>
      </c>
      <c r="H503">
        <v>1</v>
      </c>
      <c r="I503" t="s">
        <v>101</v>
      </c>
      <c r="J503" t="s">
        <v>220</v>
      </c>
      <c r="K503" t="s">
        <v>221</v>
      </c>
      <c r="L503">
        <v>400</v>
      </c>
      <c r="M503" s="211">
        <v>44407</v>
      </c>
      <c r="N503" s="211">
        <v>44407</v>
      </c>
      <c r="O503" s="212" t="s">
        <v>60</v>
      </c>
      <c r="P503" t="s">
        <v>261</v>
      </c>
      <c r="S503">
        <v>0</v>
      </c>
      <c r="T503">
        <v>0</v>
      </c>
      <c r="U503">
        <v>0</v>
      </c>
      <c r="V503">
        <v>0</v>
      </c>
      <c r="W503">
        <v>0</v>
      </c>
      <c r="X503" s="140">
        <v>400</v>
      </c>
      <c r="Y503" s="209">
        <f t="shared" si="7"/>
        <v>400</v>
      </c>
      <c r="Z503">
        <v>0</v>
      </c>
      <c r="AE503"/>
      <c r="AF503"/>
      <c r="AG503" t="s">
        <v>223</v>
      </c>
      <c r="AN503" t="s">
        <v>218</v>
      </c>
      <c r="AO503" t="s">
        <v>262</v>
      </c>
      <c r="AP503" t="s">
        <v>225</v>
      </c>
      <c r="AQ503">
        <v>0.13</v>
      </c>
      <c r="AR503" t="s">
        <v>238</v>
      </c>
    </row>
    <row r="504" hidden="1" spans="1:44">
      <c r="A504" t="s">
        <v>58</v>
      </c>
      <c r="B504" t="s">
        <v>18</v>
      </c>
      <c r="C504" s="209" t="s">
        <v>19</v>
      </c>
      <c r="D504" s="210">
        <v>71000121071058</v>
      </c>
      <c r="E504" s="211">
        <v>44389</v>
      </c>
      <c r="F504" t="s">
        <v>218</v>
      </c>
      <c r="G504" t="s">
        <v>260</v>
      </c>
      <c r="H504">
        <v>1</v>
      </c>
      <c r="I504" t="s">
        <v>267</v>
      </c>
      <c r="J504" t="s">
        <v>220</v>
      </c>
      <c r="K504" t="s">
        <v>221</v>
      </c>
      <c r="L504">
        <v>2000</v>
      </c>
      <c r="M504" s="211">
        <v>44392</v>
      </c>
      <c r="N504" s="211">
        <v>44413</v>
      </c>
      <c r="O504" s="212" t="s">
        <v>227</v>
      </c>
      <c r="P504" t="s">
        <v>261</v>
      </c>
      <c r="S504">
        <v>0</v>
      </c>
      <c r="T504">
        <v>0</v>
      </c>
      <c r="U504">
        <v>0</v>
      </c>
      <c r="V504">
        <v>0</v>
      </c>
      <c r="W504">
        <v>0</v>
      </c>
      <c r="X504" s="140">
        <v>2000</v>
      </c>
      <c r="Y504" s="209">
        <f t="shared" si="7"/>
        <v>2000</v>
      </c>
      <c r="Z504">
        <v>0</v>
      </c>
      <c r="AE504"/>
      <c r="AF504"/>
      <c r="AG504" t="s">
        <v>223</v>
      </c>
      <c r="AN504" t="s">
        <v>218</v>
      </c>
      <c r="AO504" t="s">
        <v>262</v>
      </c>
      <c r="AP504" t="s">
        <v>225</v>
      </c>
      <c r="AQ504">
        <v>0.13</v>
      </c>
      <c r="AR504" t="s">
        <v>238</v>
      </c>
    </row>
    <row r="505" hidden="1" spans="1:44">
      <c r="A505" t="s">
        <v>58</v>
      </c>
      <c r="B505" t="s">
        <v>18</v>
      </c>
      <c r="C505" s="209" t="s">
        <v>19</v>
      </c>
      <c r="D505" s="210">
        <v>71000121071058</v>
      </c>
      <c r="E505" s="211">
        <v>44389</v>
      </c>
      <c r="F505" t="s">
        <v>218</v>
      </c>
      <c r="G505" t="s">
        <v>260</v>
      </c>
      <c r="H505">
        <v>2</v>
      </c>
      <c r="I505" t="s">
        <v>267</v>
      </c>
      <c r="J505" t="s">
        <v>220</v>
      </c>
      <c r="K505" t="s">
        <v>221</v>
      </c>
      <c r="L505">
        <v>2000</v>
      </c>
      <c r="M505" s="211">
        <v>44393</v>
      </c>
      <c r="N505" s="211">
        <v>44414</v>
      </c>
      <c r="O505" s="212" t="s">
        <v>227</v>
      </c>
      <c r="P505" t="s">
        <v>261</v>
      </c>
      <c r="S505">
        <v>0</v>
      </c>
      <c r="T505">
        <v>0</v>
      </c>
      <c r="U505">
        <v>0</v>
      </c>
      <c r="V505">
        <v>0</v>
      </c>
      <c r="W505">
        <v>0</v>
      </c>
      <c r="X505" s="140">
        <v>2000</v>
      </c>
      <c r="Y505" s="209">
        <f t="shared" si="7"/>
        <v>2000</v>
      </c>
      <c r="Z505">
        <v>0</v>
      </c>
      <c r="AE505"/>
      <c r="AF505"/>
      <c r="AG505" t="s">
        <v>223</v>
      </c>
      <c r="AN505" t="s">
        <v>218</v>
      </c>
      <c r="AO505" t="s">
        <v>262</v>
      </c>
      <c r="AP505" t="s">
        <v>225</v>
      </c>
      <c r="AQ505">
        <v>0.13</v>
      </c>
      <c r="AR505" t="s">
        <v>238</v>
      </c>
    </row>
    <row r="506" hidden="1" spans="1:44">
      <c r="A506" t="s">
        <v>58</v>
      </c>
      <c r="B506" t="s">
        <v>18</v>
      </c>
      <c r="C506" s="209" t="s">
        <v>19</v>
      </c>
      <c r="D506" s="210">
        <v>71000121071058</v>
      </c>
      <c r="E506" s="211">
        <v>44389</v>
      </c>
      <c r="F506" t="s">
        <v>218</v>
      </c>
      <c r="G506" t="s">
        <v>260</v>
      </c>
      <c r="H506">
        <v>3</v>
      </c>
      <c r="I506" t="s">
        <v>267</v>
      </c>
      <c r="J506" t="s">
        <v>220</v>
      </c>
      <c r="K506" t="s">
        <v>221</v>
      </c>
      <c r="L506">
        <v>2000</v>
      </c>
      <c r="M506" s="211">
        <v>44397</v>
      </c>
      <c r="N506" s="211">
        <v>44416</v>
      </c>
      <c r="O506" s="212" t="s">
        <v>227</v>
      </c>
      <c r="P506" t="s">
        <v>261</v>
      </c>
      <c r="S506">
        <v>0</v>
      </c>
      <c r="T506">
        <v>0</v>
      </c>
      <c r="U506">
        <v>0</v>
      </c>
      <c r="V506">
        <v>0</v>
      </c>
      <c r="W506">
        <v>0</v>
      </c>
      <c r="X506" s="140">
        <v>2000</v>
      </c>
      <c r="Y506" s="209">
        <f t="shared" si="7"/>
        <v>2000</v>
      </c>
      <c r="Z506">
        <v>0</v>
      </c>
      <c r="AE506"/>
      <c r="AF506"/>
      <c r="AG506" t="s">
        <v>223</v>
      </c>
      <c r="AN506" t="s">
        <v>218</v>
      </c>
      <c r="AO506" t="s">
        <v>262</v>
      </c>
      <c r="AP506" t="s">
        <v>225</v>
      </c>
      <c r="AQ506">
        <v>0.13</v>
      </c>
      <c r="AR506" t="s">
        <v>238</v>
      </c>
    </row>
    <row r="507" hidden="1" spans="1:44">
      <c r="A507" t="s">
        <v>58</v>
      </c>
      <c r="B507" t="s">
        <v>18</v>
      </c>
      <c r="C507" s="209" t="s">
        <v>19</v>
      </c>
      <c r="D507" s="210">
        <v>71000121071058</v>
      </c>
      <c r="E507" s="211">
        <v>44389</v>
      </c>
      <c r="F507" t="s">
        <v>218</v>
      </c>
      <c r="G507" t="s">
        <v>260</v>
      </c>
      <c r="H507">
        <v>4</v>
      </c>
      <c r="I507" t="s">
        <v>267</v>
      </c>
      <c r="J507" t="s">
        <v>220</v>
      </c>
      <c r="K507" t="s">
        <v>221</v>
      </c>
      <c r="L507">
        <v>3000</v>
      </c>
      <c r="M507" s="211">
        <v>44404</v>
      </c>
      <c r="N507" s="211">
        <v>44418</v>
      </c>
      <c r="O507" s="212" t="s">
        <v>227</v>
      </c>
      <c r="P507" t="s">
        <v>261</v>
      </c>
      <c r="S507">
        <v>0</v>
      </c>
      <c r="T507">
        <v>0</v>
      </c>
      <c r="U507">
        <v>0</v>
      </c>
      <c r="V507">
        <v>0</v>
      </c>
      <c r="W507">
        <v>0</v>
      </c>
      <c r="X507" s="140">
        <v>3000</v>
      </c>
      <c r="Y507" s="209">
        <f t="shared" si="7"/>
        <v>3000</v>
      </c>
      <c r="Z507">
        <v>0</v>
      </c>
      <c r="AE507"/>
      <c r="AF507"/>
      <c r="AG507" t="s">
        <v>223</v>
      </c>
      <c r="AN507" t="s">
        <v>218</v>
      </c>
      <c r="AO507" t="s">
        <v>262</v>
      </c>
      <c r="AP507" t="s">
        <v>225</v>
      </c>
      <c r="AQ507">
        <v>0.13</v>
      </c>
      <c r="AR507" t="s">
        <v>238</v>
      </c>
    </row>
    <row r="508" hidden="1" spans="1:44">
      <c r="A508" t="s">
        <v>58</v>
      </c>
      <c r="B508" t="s">
        <v>18</v>
      </c>
      <c r="C508" s="209" t="s">
        <v>19</v>
      </c>
      <c r="D508" s="210">
        <v>71000121071058</v>
      </c>
      <c r="E508" s="211">
        <v>44389</v>
      </c>
      <c r="F508" t="s">
        <v>218</v>
      </c>
      <c r="G508" t="s">
        <v>260</v>
      </c>
      <c r="H508">
        <v>5</v>
      </c>
      <c r="I508" t="s">
        <v>267</v>
      </c>
      <c r="J508" t="s">
        <v>220</v>
      </c>
      <c r="K508" t="s">
        <v>221</v>
      </c>
      <c r="L508">
        <v>3000</v>
      </c>
      <c r="M508" s="211">
        <v>44411</v>
      </c>
      <c r="N508" s="211">
        <v>44420</v>
      </c>
      <c r="O508" s="212" t="s">
        <v>227</v>
      </c>
      <c r="P508" t="s">
        <v>261</v>
      </c>
      <c r="S508">
        <v>0</v>
      </c>
      <c r="T508">
        <v>0</v>
      </c>
      <c r="U508">
        <v>0</v>
      </c>
      <c r="V508">
        <v>0</v>
      </c>
      <c r="W508">
        <v>0</v>
      </c>
      <c r="X508" s="140">
        <v>3000</v>
      </c>
      <c r="Y508" s="209">
        <f t="shared" si="7"/>
        <v>3000</v>
      </c>
      <c r="Z508">
        <v>0</v>
      </c>
      <c r="AE508"/>
      <c r="AF508"/>
      <c r="AG508" t="s">
        <v>223</v>
      </c>
      <c r="AN508" t="s">
        <v>218</v>
      </c>
      <c r="AO508" t="s">
        <v>262</v>
      </c>
      <c r="AP508" t="s">
        <v>225</v>
      </c>
      <c r="AQ508">
        <v>0.13</v>
      </c>
      <c r="AR508" t="s">
        <v>238</v>
      </c>
    </row>
    <row r="509" hidden="1" spans="1:44">
      <c r="A509" t="s">
        <v>58</v>
      </c>
      <c r="B509" t="s">
        <v>21</v>
      </c>
      <c r="C509" s="209" t="s">
        <v>22</v>
      </c>
      <c r="D509" s="210">
        <v>71000121052001</v>
      </c>
      <c r="E509" s="211">
        <v>44340</v>
      </c>
      <c r="F509" t="s">
        <v>245</v>
      </c>
      <c r="G509" t="s">
        <v>260</v>
      </c>
      <c r="H509">
        <v>1</v>
      </c>
      <c r="I509" t="s">
        <v>99</v>
      </c>
      <c r="J509" t="s">
        <v>268</v>
      </c>
      <c r="K509" t="s">
        <v>221</v>
      </c>
      <c r="L509">
        <v>23320</v>
      </c>
      <c r="M509" s="211">
        <v>44362</v>
      </c>
      <c r="N509" s="211">
        <v>44384</v>
      </c>
      <c r="O509" s="212" t="s">
        <v>60</v>
      </c>
      <c r="P509" t="s">
        <v>261</v>
      </c>
      <c r="S509">
        <v>23320</v>
      </c>
      <c r="T509">
        <v>23194</v>
      </c>
      <c r="U509">
        <v>0</v>
      </c>
      <c r="V509">
        <v>23194</v>
      </c>
      <c r="W509">
        <v>14680</v>
      </c>
      <c r="X509" s="140">
        <v>126</v>
      </c>
      <c r="Y509" s="209">
        <f t="shared" si="7"/>
        <v>0</v>
      </c>
      <c r="Z509">
        <v>0</v>
      </c>
      <c r="AE509" s="211">
        <v>44393</v>
      </c>
      <c r="AF509" s="211">
        <v>44382</v>
      </c>
      <c r="AG509" t="s">
        <v>223</v>
      </c>
      <c r="AN509" t="s">
        <v>218</v>
      </c>
      <c r="AO509" t="s">
        <v>262</v>
      </c>
      <c r="AP509" t="s">
        <v>225</v>
      </c>
      <c r="AQ509">
        <v>0.13</v>
      </c>
      <c r="AR509" t="s">
        <v>238</v>
      </c>
    </row>
    <row r="510" hidden="1" spans="1:44">
      <c r="A510" t="s">
        <v>58</v>
      </c>
      <c r="B510" t="s">
        <v>21</v>
      </c>
      <c r="C510" s="209" t="s">
        <v>22</v>
      </c>
      <c r="D510" s="210">
        <v>71000121052678</v>
      </c>
      <c r="E510" s="211">
        <v>44347</v>
      </c>
      <c r="F510" t="s">
        <v>218</v>
      </c>
      <c r="G510" t="s">
        <v>260</v>
      </c>
      <c r="H510">
        <v>1</v>
      </c>
      <c r="I510" t="s">
        <v>99</v>
      </c>
      <c r="J510" t="s">
        <v>268</v>
      </c>
      <c r="K510" t="s">
        <v>221</v>
      </c>
      <c r="L510">
        <v>500</v>
      </c>
      <c r="M510" s="211">
        <v>44386</v>
      </c>
      <c r="N510" s="211">
        <v>44396</v>
      </c>
      <c r="O510" s="212" t="s">
        <v>60</v>
      </c>
      <c r="P510" t="s">
        <v>261</v>
      </c>
      <c r="S510">
        <v>0</v>
      </c>
      <c r="T510">
        <v>0</v>
      </c>
      <c r="U510">
        <v>0</v>
      </c>
      <c r="V510">
        <v>0</v>
      </c>
      <c r="W510">
        <v>0</v>
      </c>
      <c r="X510" s="140">
        <v>500</v>
      </c>
      <c r="Y510" s="209">
        <f t="shared" si="7"/>
        <v>500</v>
      </c>
      <c r="Z510">
        <v>0</v>
      </c>
      <c r="AE510"/>
      <c r="AF510"/>
      <c r="AG510" t="s">
        <v>223</v>
      </c>
      <c r="AN510" t="s">
        <v>218</v>
      </c>
      <c r="AO510" t="s">
        <v>262</v>
      </c>
      <c r="AP510" t="s">
        <v>225</v>
      </c>
      <c r="AQ510">
        <v>0.13</v>
      </c>
      <c r="AR510" t="s">
        <v>238</v>
      </c>
    </row>
    <row r="511" hidden="1" spans="1:44">
      <c r="A511" t="s">
        <v>58</v>
      </c>
      <c r="B511" t="s">
        <v>21</v>
      </c>
      <c r="C511" s="209" t="s">
        <v>22</v>
      </c>
      <c r="D511" s="210">
        <v>71000121052678</v>
      </c>
      <c r="E511" s="211">
        <v>44347</v>
      </c>
      <c r="F511" t="s">
        <v>218</v>
      </c>
      <c r="G511" t="s">
        <v>260</v>
      </c>
      <c r="H511">
        <v>3</v>
      </c>
      <c r="I511" t="s">
        <v>99</v>
      </c>
      <c r="J511" t="s">
        <v>268</v>
      </c>
      <c r="K511" t="s">
        <v>221</v>
      </c>
      <c r="L511">
        <v>600</v>
      </c>
      <c r="M511" s="211">
        <v>44386</v>
      </c>
      <c r="N511" s="211">
        <v>44397</v>
      </c>
      <c r="O511" s="212" t="s">
        <v>60</v>
      </c>
      <c r="P511" t="s">
        <v>261</v>
      </c>
      <c r="S511">
        <v>0</v>
      </c>
      <c r="T511">
        <v>0</v>
      </c>
      <c r="U511">
        <v>0</v>
      </c>
      <c r="V511">
        <v>0</v>
      </c>
      <c r="W511">
        <v>0</v>
      </c>
      <c r="X511" s="140">
        <v>600</v>
      </c>
      <c r="Y511" s="209">
        <f t="shared" si="7"/>
        <v>600</v>
      </c>
      <c r="Z511">
        <v>0</v>
      </c>
      <c r="AE511"/>
      <c r="AF511"/>
      <c r="AG511" t="s">
        <v>223</v>
      </c>
      <c r="AN511" t="s">
        <v>218</v>
      </c>
      <c r="AO511" t="s">
        <v>262</v>
      </c>
      <c r="AP511" t="s">
        <v>225</v>
      </c>
      <c r="AQ511">
        <v>0.13</v>
      </c>
      <c r="AR511" t="s">
        <v>238</v>
      </c>
    </row>
    <row r="512" hidden="1" spans="1:44">
      <c r="A512" t="s">
        <v>58</v>
      </c>
      <c r="B512" t="s">
        <v>21</v>
      </c>
      <c r="C512" s="209" t="s">
        <v>22</v>
      </c>
      <c r="D512" s="210">
        <v>71000121052678</v>
      </c>
      <c r="E512" s="211">
        <v>44347</v>
      </c>
      <c r="F512" t="s">
        <v>218</v>
      </c>
      <c r="G512" t="s">
        <v>260</v>
      </c>
      <c r="H512">
        <v>4</v>
      </c>
      <c r="I512" t="s">
        <v>99</v>
      </c>
      <c r="J512" t="s">
        <v>268</v>
      </c>
      <c r="K512" t="s">
        <v>221</v>
      </c>
      <c r="L512">
        <v>800</v>
      </c>
      <c r="M512" s="211">
        <v>44379</v>
      </c>
      <c r="N512" s="211">
        <v>44394</v>
      </c>
      <c r="O512" s="212" t="s">
        <v>60</v>
      </c>
      <c r="P512" t="s">
        <v>261</v>
      </c>
      <c r="S512">
        <v>0</v>
      </c>
      <c r="T512">
        <v>0</v>
      </c>
      <c r="U512">
        <v>0</v>
      </c>
      <c r="V512">
        <v>0</v>
      </c>
      <c r="W512">
        <v>0</v>
      </c>
      <c r="X512" s="140">
        <v>800</v>
      </c>
      <c r="Y512" s="209">
        <f t="shared" si="7"/>
        <v>800</v>
      </c>
      <c r="Z512">
        <v>0</v>
      </c>
      <c r="AE512"/>
      <c r="AF512"/>
      <c r="AG512" t="s">
        <v>223</v>
      </c>
      <c r="AN512" t="s">
        <v>218</v>
      </c>
      <c r="AO512" t="s">
        <v>262</v>
      </c>
      <c r="AP512" t="s">
        <v>225</v>
      </c>
      <c r="AQ512">
        <v>0.13</v>
      </c>
      <c r="AR512" t="s">
        <v>238</v>
      </c>
    </row>
    <row r="513" hidden="1" spans="1:44">
      <c r="A513" t="s">
        <v>58</v>
      </c>
      <c r="B513" t="s">
        <v>21</v>
      </c>
      <c r="C513" s="209" t="s">
        <v>22</v>
      </c>
      <c r="D513" s="210">
        <v>71000121052678</v>
      </c>
      <c r="E513" s="211">
        <v>44347</v>
      </c>
      <c r="F513" t="s">
        <v>218</v>
      </c>
      <c r="G513" t="s">
        <v>260</v>
      </c>
      <c r="H513">
        <v>5</v>
      </c>
      <c r="I513" t="s">
        <v>99</v>
      </c>
      <c r="J513" t="s">
        <v>268</v>
      </c>
      <c r="K513" t="s">
        <v>221</v>
      </c>
      <c r="L513">
        <v>100</v>
      </c>
      <c r="M513" s="211">
        <v>44376</v>
      </c>
      <c r="N513" s="211">
        <v>44394</v>
      </c>
      <c r="O513" s="212" t="s">
        <v>60</v>
      </c>
      <c r="P513" t="s">
        <v>261</v>
      </c>
      <c r="S513">
        <v>14</v>
      </c>
      <c r="T513">
        <v>0</v>
      </c>
      <c r="U513">
        <v>0</v>
      </c>
      <c r="V513">
        <v>0</v>
      </c>
      <c r="W513">
        <v>0</v>
      </c>
      <c r="X513" s="140">
        <v>100</v>
      </c>
      <c r="Y513" s="209">
        <f t="shared" si="7"/>
        <v>86</v>
      </c>
      <c r="Z513">
        <v>0</v>
      </c>
      <c r="AE513">
        <v>44393</v>
      </c>
      <c r="AF513"/>
      <c r="AG513" t="s">
        <v>223</v>
      </c>
      <c r="AN513" t="s">
        <v>218</v>
      </c>
      <c r="AO513" t="s">
        <v>262</v>
      </c>
      <c r="AP513" t="s">
        <v>225</v>
      </c>
      <c r="AQ513">
        <v>0.13</v>
      </c>
      <c r="AR513" t="s">
        <v>238</v>
      </c>
    </row>
    <row r="514" hidden="1" spans="1:44">
      <c r="A514" t="s">
        <v>58</v>
      </c>
      <c r="B514" t="s">
        <v>21</v>
      </c>
      <c r="C514" s="209" t="s">
        <v>22</v>
      </c>
      <c r="D514" s="210">
        <v>71000121052678</v>
      </c>
      <c r="E514" s="211">
        <v>44347</v>
      </c>
      <c r="F514" t="s">
        <v>245</v>
      </c>
      <c r="G514" t="s">
        <v>260</v>
      </c>
      <c r="H514">
        <v>7</v>
      </c>
      <c r="I514" t="s">
        <v>99</v>
      </c>
      <c r="J514" t="s">
        <v>268</v>
      </c>
      <c r="K514" t="s">
        <v>221</v>
      </c>
      <c r="L514">
        <v>1500</v>
      </c>
      <c r="M514" s="211">
        <v>44371</v>
      </c>
      <c r="N514" s="211">
        <v>44394</v>
      </c>
      <c r="O514" s="212" t="s">
        <v>60</v>
      </c>
      <c r="P514" t="s">
        <v>261</v>
      </c>
      <c r="S514">
        <v>1500</v>
      </c>
      <c r="T514">
        <v>0</v>
      </c>
      <c r="U514">
        <v>0</v>
      </c>
      <c r="V514">
        <v>0</v>
      </c>
      <c r="W514">
        <v>0</v>
      </c>
      <c r="X514" s="140">
        <v>1500</v>
      </c>
      <c r="Y514" s="209">
        <f t="shared" si="7"/>
        <v>0</v>
      </c>
      <c r="Z514">
        <v>0</v>
      </c>
      <c r="AE514" s="211">
        <v>44393</v>
      </c>
      <c r="AG514" t="s">
        <v>223</v>
      </c>
      <c r="AN514" t="s">
        <v>218</v>
      </c>
      <c r="AO514" t="s">
        <v>262</v>
      </c>
      <c r="AP514" t="s">
        <v>225</v>
      </c>
      <c r="AQ514">
        <v>0.13</v>
      </c>
      <c r="AR514" t="s">
        <v>238</v>
      </c>
    </row>
    <row r="515" hidden="1" spans="1:44">
      <c r="A515" t="s">
        <v>58</v>
      </c>
      <c r="B515" t="s">
        <v>21</v>
      </c>
      <c r="C515" s="209" t="s">
        <v>22</v>
      </c>
      <c r="D515" s="210">
        <v>71000121052678</v>
      </c>
      <c r="E515" s="211">
        <v>44347</v>
      </c>
      <c r="F515" t="s">
        <v>218</v>
      </c>
      <c r="G515" t="s">
        <v>260</v>
      </c>
      <c r="H515">
        <v>8</v>
      </c>
      <c r="I515" t="s">
        <v>99</v>
      </c>
      <c r="J515" t="s">
        <v>268</v>
      </c>
      <c r="K515" t="s">
        <v>221</v>
      </c>
      <c r="L515">
        <v>4100</v>
      </c>
      <c r="M515" s="211">
        <v>44385</v>
      </c>
      <c r="N515" s="211">
        <v>44394</v>
      </c>
      <c r="O515" s="212" t="s">
        <v>60</v>
      </c>
      <c r="P515" t="s">
        <v>261</v>
      </c>
      <c r="S515">
        <v>0</v>
      </c>
      <c r="T515">
        <v>0</v>
      </c>
      <c r="U515">
        <v>0</v>
      </c>
      <c r="V515">
        <v>0</v>
      </c>
      <c r="W515">
        <v>0</v>
      </c>
      <c r="X515" s="140">
        <v>4100</v>
      </c>
      <c r="Y515" s="209">
        <f t="shared" ref="Y515:Y578" si="8">L515-S515</f>
        <v>4100</v>
      </c>
      <c r="Z515">
        <v>0</v>
      </c>
      <c r="AE515"/>
      <c r="AF515"/>
      <c r="AG515" t="s">
        <v>223</v>
      </c>
      <c r="AN515" t="s">
        <v>218</v>
      </c>
      <c r="AO515" t="s">
        <v>262</v>
      </c>
      <c r="AP515" t="s">
        <v>225</v>
      </c>
      <c r="AQ515">
        <v>0.13</v>
      </c>
      <c r="AR515" t="s">
        <v>238</v>
      </c>
    </row>
    <row r="516" hidden="1" spans="1:44">
      <c r="A516" t="s">
        <v>58</v>
      </c>
      <c r="B516" t="s">
        <v>21</v>
      </c>
      <c r="C516" s="209" t="s">
        <v>22</v>
      </c>
      <c r="D516" s="210">
        <v>71000121052678</v>
      </c>
      <c r="E516" s="211">
        <v>44347</v>
      </c>
      <c r="F516" t="s">
        <v>218</v>
      </c>
      <c r="G516" t="s">
        <v>260</v>
      </c>
      <c r="H516">
        <v>9</v>
      </c>
      <c r="I516" t="s">
        <v>99</v>
      </c>
      <c r="J516" t="s">
        <v>268</v>
      </c>
      <c r="K516" t="s">
        <v>221</v>
      </c>
      <c r="L516">
        <v>2900</v>
      </c>
      <c r="M516" s="211">
        <v>44378</v>
      </c>
      <c r="N516" s="211">
        <v>44394</v>
      </c>
      <c r="O516" s="212" t="s">
        <v>60</v>
      </c>
      <c r="P516" t="s">
        <v>261</v>
      </c>
      <c r="S516">
        <v>0</v>
      </c>
      <c r="T516">
        <v>0</v>
      </c>
      <c r="U516">
        <v>0</v>
      </c>
      <c r="V516">
        <v>0</v>
      </c>
      <c r="W516">
        <v>0</v>
      </c>
      <c r="X516" s="140">
        <v>2900</v>
      </c>
      <c r="Y516" s="209">
        <f t="shared" si="8"/>
        <v>2900</v>
      </c>
      <c r="Z516">
        <v>0</v>
      </c>
      <c r="AE516"/>
      <c r="AF516"/>
      <c r="AG516" t="s">
        <v>223</v>
      </c>
      <c r="AN516" t="s">
        <v>218</v>
      </c>
      <c r="AO516" t="s">
        <v>262</v>
      </c>
      <c r="AP516" t="s">
        <v>225</v>
      </c>
      <c r="AQ516">
        <v>0.13</v>
      </c>
      <c r="AR516" t="s">
        <v>238</v>
      </c>
    </row>
    <row r="517" hidden="1" spans="1:44">
      <c r="A517" t="s">
        <v>58</v>
      </c>
      <c r="B517" t="s">
        <v>21</v>
      </c>
      <c r="C517" s="209" t="s">
        <v>22</v>
      </c>
      <c r="D517" s="210">
        <v>71000121052678</v>
      </c>
      <c r="E517" s="211">
        <v>44347</v>
      </c>
      <c r="F517" t="s">
        <v>218</v>
      </c>
      <c r="G517" t="s">
        <v>260</v>
      </c>
      <c r="H517">
        <v>10</v>
      </c>
      <c r="I517" t="s">
        <v>99</v>
      </c>
      <c r="J517" t="s">
        <v>268</v>
      </c>
      <c r="K517" t="s">
        <v>221</v>
      </c>
      <c r="L517">
        <v>2500</v>
      </c>
      <c r="M517" s="211">
        <v>44385</v>
      </c>
      <c r="N517" s="211">
        <v>44393</v>
      </c>
      <c r="O517" s="212" t="s">
        <v>60</v>
      </c>
      <c r="P517" t="s">
        <v>261</v>
      </c>
      <c r="S517">
        <v>0</v>
      </c>
      <c r="T517">
        <v>0</v>
      </c>
      <c r="U517">
        <v>0</v>
      </c>
      <c r="V517">
        <v>0</v>
      </c>
      <c r="W517">
        <v>0</v>
      </c>
      <c r="X517" s="140">
        <v>2500</v>
      </c>
      <c r="Y517" s="209">
        <f t="shared" si="8"/>
        <v>2500</v>
      </c>
      <c r="Z517">
        <v>0</v>
      </c>
      <c r="AE517"/>
      <c r="AF517"/>
      <c r="AG517" t="s">
        <v>223</v>
      </c>
      <c r="AN517" t="s">
        <v>218</v>
      </c>
      <c r="AO517" t="s">
        <v>262</v>
      </c>
      <c r="AP517" t="s">
        <v>225</v>
      </c>
      <c r="AQ517">
        <v>0.13</v>
      </c>
      <c r="AR517" t="s">
        <v>238</v>
      </c>
    </row>
    <row r="518" hidden="1" spans="1:44">
      <c r="A518" t="s">
        <v>58</v>
      </c>
      <c r="B518" t="s">
        <v>21</v>
      </c>
      <c r="C518" s="209" t="s">
        <v>22</v>
      </c>
      <c r="D518" s="210">
        <v>71000121062089</v>
      </c>
      <c r="E518" s="211">
        <v>44373</v>
      </c>
      <c r="F518" t="s">
        <v>218</v>
      </c>
      <c r="G518" t="s">
        <v>260</v>
      </c>
      <c r="H518">
        <v>1</v>
      </c>
      <c r="I518" t="s">
        <v>99</v>
      </c>
      <c r="J518" t="s">
        <v>268</v>
      </c>
      <c r="K518" t="s">
        <v>221</v>
      </c>
      <c r="L518">
        <v>4900</v>
      </c>
      <c r="M518" s="211">
        <v>44384</v>
      </c>
      <c r="N518" s="211">
        <v>44394</v>
      </c>
      <c r="O518" s="212" t="s">
        <v>60</v>
      </c>
      <c r="P518" t="s">
        <v>261</v>
      </c>
      <c r="S518">
        <v>0</v>
      </c>
      <c r="T518">
        <v>0</v>
      </c>
      <c r="U518">
        <v>0</v>
      </c>
      <c r="V518">
        <v>0</v>
      </c>
      <c r="W518">
        <v>0</v>
      </c>
      <c r="X518" s="140">
        <v>4900</v>
      </c>
      <c r="Y518" s="209">
        <f t="shared" si="8"/>
        <v>4900</v>
      </c>
      <c r="Z518">
        <v>0</v>
      </c>
      <c r="AE518"/>
      <c r="AF518"/>
      <c r="AG518" t="s">
        <v>223</v>
      </c>
      <c r="AN518" t="s">
        <v>218</v>
      </c>
      <c r="AO518" t="s">
        <v>262</v>
      </c>
      <c r="AP518" t="s">
        <v>225</v>
      </c>
      <c r="AQ518">
        <v>0.13</v>
      </c>
      <c r="AR518" t="s">
        <v>238</v>
      </c>
    </row>
    <row r="519" hidden="1" spans="1:44">
      <c r="A519" t="s">
        <v>58</v>
      </c>
      <c r="B519" t="s">
        <v>21</v>
      </c>
      <c r="C519" s="209" t="s">
        <v>22</v>
      </c>
      <c r="D519" s="210">
        <v>71000121070136</v>
      </c>
      <c r="E519" s="211">
        <v>44379</v>
      </c>
      <c r="F519" t="s">
        <v>218</v>
      </c>
      <c r="G519" t="s">
        <v>260</v>
      </c>
      <c r="H519">
        <v>1</v>
      </c>
      <c r="I519" t="s">
        <v>99</v>
      </c>
      <c r="J519" t="s">
        <v>268</v>
      </c>
      <c r="K519" t="s">
        <v>221</v>
      </c>
      <c r="L519">
        <v>5400</v>
      </c>
      <c r="M519" s="211">
        <v>44403</v>
      </c>
      <c r="N519" s="211">
        <v>44398</v>
      </c>
      <c r="O519" s="212" t="s">
        <v>60</v>
      </c>
      <c r="P519" t="s">
        <v>261</v>
      </c>
      <c r="S519">
        <v>0</v>
      </c>
      <c r="T519">
        <v>0</v>
      </c>
      <c r="U519">
        <v>0</v>
      </c>
      <c r="V519">
        <v>0</v>
      </c>
      <c r="W519">
        <v>0</v>
      </c>
      <c r="X519" s="140">
        <v>5400</v>
      </c>
      <c r="Y519" s="209">
        <f t="shared" si="8"/>
        <v>5400</v>
      </c>
      <c r="Z519">
        <v>0</v>
      </c>
      <c r="AE519"/>
      <c r="AF519"/>
      <c r="AG519" t="s">
        <v>223</v>
      </c>
      <c r="AN519" t="s">
        <v>218</v>
      </c>
      <c r="AO519" t="s">
        <v>262</v>
      </c>
      <c r="AP519" t="s">
        <v>225</v>
      </c>
      <c r="AQ519">
        <v>0.13</v>
      </c>
      <c r="AR519" t="s">
        <v>238</v>
      </c>
    </row>
    <row r="520" hidden="1" spans="1:44">
      <c r="A520" t="s">
        <v>58</v>
      </c>
      <c r="B520" t="s">
        <v>21</v>
      </c>
      <c r="C520" s="209" t="s">
        <v>22</v>
      </c>
      <c r="D520" s="210">
        <v>71000121070701</v>
      </c>
      <c r="E520" s="211">
        <v>44384</v>
      </c>
      <c r="F520" t="s">
        <v>218</v>
      </c>
      <c r="G520" t="s">
        <v>260</v>
      </c>
      <c r="H520">
        <v>1</v>
      </c>
      <c r="I520" t="s">
        <v>100</v>
      </c>
      <c r="J520" t="s">
        <v>220</v>
      </c>
      <c r="K520" t="s">
        <v>221</v>
      </c>
      <c r="L520">
        <v>3000</v>
      </c>
      <c r="M520" s="211">
        <v>44390</v>
      </c>
      <c r="N520" s="211">
        <v>44406</v>
      </c>
      <c r="O520" s="212" t="s">
        <v>60</v>
      </c>
      <c r="P520" t="s">
        <v>261</v>
      </c>
      <c r="S520">
        <v>0</v>
      </c>
      <c r="T520">
        <v>0</v>
      </c>
      <c r="U520">
        <v>0</v>
      </c>
      <c r="V520">
        <v>0</v>
      </c>
      <c r="W520">
        <v>0</v>
      </c>
      <c r="X520" s="140">
        <v>3000</v>
      </c>
      <c r="Y520" s="209">
        <f t="shared" si="8"/>
        <v>3000</v>
      </c>
      <c r="Z520">
        <v>0</v>
      </c>
      <c r="AE520"/>
      <c r="AF520"/>
      <c r="AG520" t="s">
        <v>223</v>
      </c>
      <c r="AN520" t="s">
        <v>218</v>
      </c>
      <c r="AO520" t="s">
        <v>262</v>
      </c>
      <c r="AP520" t="s">
        <v>225</v>
      </c>
      <c r="AQ520">
        <v>0.13</v>
      </c>
      <c r="AR520" t="s">
        <v>238</v>
      </c>
    </row>
    <row r="521" hidden="1" spans="1:44">
      <c r="A521" t="s">
        <v>58</v>
      </c>
      <c r="B521" t="s">
        <v>21</v>
      </c>
      <c r="C521" s="209" t="s">
        <v>22</v>
      </c>
      <c r="D521" s="210">
        <v>71000121070701</v>
      </c>
      <c r="E521" s="211">
        <v>44384</v>
      </c>
      <c r="F521" t="s">
        <v>218</v>
      </c>
      <c r="G521" t="s">
        <v>260</v>
      </c>
      <c r="H521">
        <v>2</v>
      </c>
      <c r="I521" t="s">
        <v>100</v>
      </c>
      <c r="J521" t="s">
        <v>220</v>
      </c>
      <c r="K521" t="s">
        <v>221</v>
      </c>
      <c r="L521">
        <v>3000</v>
      </c>
      <c r="M521" s="211">
        <v>44393</v>
      </c>
      <c r="N521" s="211">
        <v>44406</v>
      </c>
      <c r="O521" s="212" t="s">
        <v>60</v>
      </c>
      <c r="P521" t="s">
        <v>261</v>
      </c>
      <c r="S521">
        <v>0</v>
      </c>
      <c r="T521">
        <v>0</v>
      </c>
      <c r="U521">
        <v>0</v>
      </c>
      <c r="V521">
        <v>0</v>
      </c>
      <c r="W521">
        <v>0</v>
      </c>
      <c r="X521" s="140">
        <v>3000</v>
      </c>
      <c r="Y521" s="209">
        <f t="shared" si="8"/>
        <v>3000</v>
      </c>
      <c r="Z521">
        <v>0</v>
      </c>
      <c r="AE521"/>
      <c r="AF521"/>
      <c r="AG521" t="s">
        <v>223</v>
      </c>
      <c r="AN521" t="s">
        <v>218</v>
      </c>
      <c r="AO521" t="s">
        <v>262</v>
      </c>
      <c r="AP521" t="s">
        <v>225</v>
      </c>
      <c r="AQ521">
        <v>0.13</v>
      </c>
      <c r="AR521" t="s">
        <v>238</v>
      </c>
    </row>
    <row r="522" hidden="1" spans="1:44">
      <c r="A522" t="s">
        <v>58</v>
      </c>
      <c r="B522" t="s">
        <v>21</v>
      </c>
      <c r="C522" s="209" t="s">
        <v>22</v>
      </c>
      <c r="D522" s="210">
        <v>71000121070701</v>
      </c>
      <c r="E522" s="211">
        <v>44384</v>
      </c>
      <c r="F522" t="s">
        <v>218</v>
      </c>
      <c r="G522" t="s">
        <v>260</v>
      </c>
      <c r="H522">
        <v>3</v>
      </c>
      <c r="I522" t="s">
        <v>100</v>
      </c>
      <c r="J522" t="s">
        <v>220</v>
      </c>
      <c r="K522" t="s">
        <v>221</v>
      </c>
      <c r="L522">
        <v>3000</v>
      </c>
      <c r="M522" s="211">
        <v>44397</v>
      </c>
      <c r="N522" s="211">
        <v>44406</v>
      </c>
      <c r="O522" s="212" t="s">
        <v>60</v>
      </c>
      <c r="P522" t="s">
        <v>261</v>
      </c>
      <c r="S522">
        <v>0</v>
      </c>
      <c r="T522">
        <v>0</v>
      </c>
      <c r="U522">
        <v>0</v>
      </c>
      <c r="V522">
        <v>0</v>
      </c>
      <c r="W522">
        <v>0</v>
      </c>
      <c r="X522" s="140">
        <v>3000</v>
      </c>
      <c r="Y522" s="209">
        <f t="shared" si="8"/>
        <v>3000</v>
      </c>
      <c r="Z522">
        <v>0</v>
      </c>
      <c r="AE522"/>
      <c r="AF522"/>
      <c r="AG522" t="s">
        <v>223</v>
      </c>
      <c r="AN522" t="s">
        <v>218</v>
      </c>
      <c r="AO522" t="s">
        <v>262</v>
      </c>
      <c r="AP522" t="s">
        <v>225</v>
      </c>
      <c r="AQ522">
        <v>0.13</v>
      </c>
      <c r="AR522" t="s">
        <v>238</v>
      </c>
    </row>
    <row r="523" hidden="1" spans="1:44">
      <c r="A523" t="s">
        <v>58</v>
      </c>
      <c r="B523" t="s">
        <v>21</v>
      </c>
      <c r="C523" s="209" t="s">
        <v>22</v>
      </c>
      <c r="D523" s="210">
        <v>71000121070701</v>
      </c>
      <c r="E523" s="211">
        <v>44384</v>
      </c>
      <c r="F523" t="s">
        <v>218</v>
      </c>
      <c r="G523" t="s">
        <v>260</v>
      </c>
      <c r="H523">
        <v>4</v>
      </c>
      <c r="I523" t="s">
        <v>100</v>
      </c>
      <c r="J523" t="s">
        <v>220</v>
      </c>
      <c r="K523" t="s">
        <v>221</v>
      </c>
      <c r="L523">
        <v>1800</v>
      </c>
      <c r="M523" s="211">
        <v>44403</v>
      </c>
      <c r="N523" s="211">
        <v>44406</v>
      </c>
      <c r="O523" s="212" t="s">
        <v>60</v>
      </c>
      <c r="P523" t="s">
        <v>261</v>
      </c>
      <c r="S523">
        <v>0</v>
      </c>
      <c r="T523">
        <v>0</v>
      </c>
      <c r="U523">
        <v>0</v>
      </c>
      <c r="V523">
        <v>0</v>
      </c>
      <c r="W523">
        <v>0</v>
      </c>
      <c r="X523" s="140">
        <v>1800</v>
      </c>
      <c r="Y523" s="209">
        <f t="shared" si="8"/>
        <v>1800</v>
      </c>
      <c r="Z523">
        <v>0</v>
      </c>
      <c r="AE523"/>
      <c r="AF523"/>
      <c r="AG523" t="s">
        <v>223</v>
      </c>
      <c r="AN523" t="s">
        <v>218</v>
      </c>
      <c r="AO523" t="s">
        <v>262</v>
      </c>
      <c r="AP523" t="s">
        <v>225</v>
      </c>
      <c r="AQ523">
        <v>0.13</v>
      </c>
      <c r="AR523" t="s">
        <v>238</v>
      </c>
    </row>
    <row r="524" hidden="1" spans="1:44">
      <c r="A524" t="s">
        <v>58</v>
      </c>
      <c r="B524" t="s">
        <v>21</v>
      </c>
      <c r="C524" s="209" t="s">
        <v>22</v>
      </c>
      <c r="D524" s="210">
        <v>71000121070701</v>
      </c>
      <c r="E524" s="211">
        <v>44384</v>
      </c>
      <c r="F524" t="s">
        <v>218</v>
      </c>
      <c r="G524" t="s">
        <v>260</v>
      </c>
      <c r="H524">
        <v>5</v>
      </c>
      <c r="I524" t="s">
        <v>99</v>
      </c>
      <c r="J524" t="s">
        <v>268</v>
      </c>
      <c r="K524" t="s">
        <v>221</v>
      </c>
      <c r="L524">
        <v>800</v>
      </c>
      <c r="M524" s="211">
        <v>44400</v>
      </c>
      <c r="N524" s="211">
        <v>44406</v>
      </c>
      <c r="O524" s="212" t="s">
        <v>60</v>
      </c>
      <c r="P524" t="s">
        <v>261</v>
      </c>
      <c r="S524">
        <v>0</v>
      </c>
      <c r="T524">
        <v>0</v>
      </c>
      <c r="U524">
        <v>0</v>
      </c>
      <c r="V524">
        <v>0</v>
      </c>
      <c r="W524">
        <v>0</v>
      </c>
      <c r="X524" s="140">
        <v>800</v>
      </c>
      <c r="Y524" s="209">
        <f t="shared" si="8"/>
        <v>800</v>
      </c>
      <c r="Z524">
        <v>0</v>
      </c>
      <c r="AE524"/>
      <c r="AF524"/>
      <c r="AG524" t="s">
        <v>223</v>
      </c>
      <c r="AN524" t="s">
        <v>218</v>
      </c>
      <c r="AO524" t="s">
        <v>262</v>
      </c>
      <c r="AP524" t="s">
        <v>225</v>
      </c>
      <c r="AQ524">
        <v>0.13</v>
      </c>
      <c r="AR524" t="s">
        <v>238</v>
      </c>
    </row>
    <row r="525" hidden="1" spans="1:44">
      <c r="A525" t="s">
        <v>58</v>
      </c>
      <c r="B525" t="s">
        <v>21</v>
      </c>
      <c r="C525" s="209" t="s">
        <v>22</v>
      </c>
      <c r="D525" s="210">
        <v>71000121070922</v>
      </c>
      <c r="E525" s="211">
        <v>44387</v>
      </c>
      <c r="F525" t="s">
        <v>218</v>
      </c>
      <c r="G525" t="s">
        <v>260</v>
      </c>
      <c r="H525">
        <v>1</v>
      </c>
      <c r="I525" t="s">
        <v>100</v>
      </c>
      <c r="J525" t="s">
        <v>220</v>
      </c>
      <c r="K525" t="s">
        <v>221</v>
      </c>
      <c r="L525">
        <v>2200</v>
      </c>
      <c r="M525" s="211">
        <v>44413</v>
      </c>
      <c r="O525" s="212" t="s">
        <v>227</v>
      </c>
      <c r="P525" t="s">
        <v>261</v>
      </c>
      <c r="S525">
        <v>0</v>
      </c>
      <c r="T525">
        <v>0</v>
      </c>
      <c r="U525">
        <v>0</v>
      </c>
      <c r="V525">
        <v>0</v>
      </c>
      <c r="W525">
        <v>0</v>
      </c>
      <c r="X525" s="140">
        <v>2200</v>
      </c>
      <c r="Y525" s="209">
        <f t="shared" si="8"/>
        <v>2200</v>
      </c>
      <c r="Z525">
        <v>0</v>
      </c>
      <c r="AE525"/>
      <c r="AF525"/>
      <c r="AG525" t="s">
        <v>223</v>
      </c>
      <c r="AN525" t="s">
        <v>218</v>
      </c>
      <c r="AO525" t="s">
        <v>262</v>
      </c>
      <c r="AP525" t="s">
        <v>225</v>
      </c>
      <c r="AQ525">
        <v>0.13</v>
      </c>
      <c r="AR525" t="s">
        <v>238</v>
      </c>
    </row>
    <row r="526" hidden="1" spans="1:44">
      <c r="A526" t="s">
        <v>58</v>
      </c>
      <c r="B526" t="s">
        <v>23</v>
      </c>
      <c r="C526" s="209" t="s">
        <v>24</v>
      </c>
      <c r="D526" s="210">
        <v>71000121052599</v>
      </c>
      <c r="E526" s="211">
        <v>44347</v>
      </c>
      <c r="F526" t="s">
        <v>218</v>
      </c>
      <c r="G526" t="s">
        <v>260</v>
      </c>
      <c r="H526">
        <v>2</v>
      </c>
      <c r="I526" t="s">
        <v>94</v>
      </c>
      <c r="J526" t="s">
        <v>220</v>
      </c>
      <c r="K526" t="s">
        <v>221</v>
      </c>
      <c r="L526">
        <v>6900</v>
      </c>
      <c r="M526" s="211">
        <v>44348</v>
      </c>
      <c r="N526" s="211">
        <v>44394</v>
      </c>
      <c r="O526" s="212" t="s">
        <v>60</v>
      </c>
      <c r="P526" t="s">
        <v>261</v>
      </c>
      <c r="S526">
        <v>6791</v>
      </c>
      <c r="T526">
        <v>6791</v>
      </c>
      <c r="U526">
        <v>0</v>
      </c>
      <c r="V526">
        <v>6791</v>
      </c>
      <c r="W526">
        <v>631</v>
      </c>
      <c r="X526" s="140">
        <v>109</v>
      </c>
      <c r="Y526" s="209">
        <f t="shared" si="8"/>
        <v>109</v>
      </c>
      <c r="Z526">
        <v>0</v>
      </c>
      <c r="AE526">
        <v>44392</v>
      </c>
      <c r="AF526">
        <v>44392</v>
      </c>
      <c r="AG526" t="s">
        <v>223</v>
      </c>
      <c r="AN526" t="s">
        <v>218</v>
      </c>
      <c r="AO526" t="s">
        <v>262</v>
      </c>
      <c r="AP526" t="s">
        <v>225</v>
      </c>
      <c r="AQ526">
        <v>0.13</v>
      </c>
      <c r="AR526" t="s">
        <v>238</v>
      </c>
    </row>
    <row r="527" hidden="1" spans="1:44">
      <c r="A527" t="s">
        <v>58</v>
      </c>
      <c r="B527" t="s">
        <v>23</v>
      </c>
      <c r="C527" s="209" t="s">
        <v>24</v>
      </c>
      <c r="D527" s="210">
        <v>71000121052686</v>
      </c>
      <c r="E527" s="211">
        <v>44347</v>
      </c>
      <c r="F527" t="s">
        <v>218</v>
      </c>
      <c r="G527" t="s">
        <v>260</v>
      </c>
      <c r="H527">
        <v>1</v>
      </c>
      <c r="I527" t="s">
        <v>94</v>
      </c>
      <c r="J527" t="s">
        <v>220</v>
      </c>
      <c r="K527" t="s">
        <v>221</v>
      </c>
      <c r="L527">
        <v>5100</v>
      </c>
      <c r="M527" s="211">
        <v>44386</v>
      </c>
      <c r="N527" s="211">
        <v>44396</v>
      </c>
      <c r="O527" s="212" t="s">
        <v>60</v>
      </c>
      <c r="P527" t="s">
        <v>261</v>
      </c>
      <c r="S527">
        <v>0</v>
      </c>
      <c r="T527">
        <v>0</v>
      </c>
      <c r="U527">
        <v>0</v>
      </c>
      <c r="V527">
        <v>0</v>
      </c>
      <c r="W527">
        <v>0</v>
      </c>
      <c r="X527" s="140">
        <v>5100</v>
      </c>
      <c r="Y527" s="209">
        <f t="shared" si="8"/>
        <v>5100</v>
      </c>
      <c r="Z527">
        <v>0</v>
      </c>
      <c r="AE527"/>
      <c r="AF527"/>
      <c r="AG527" t="s">
        <v>223</v>
      </c>
      <c r="AN527" t="s">
        <v>218</v>
      </c>
      <c r="AO527" t="s">
        <v>262</v>
      </c>
      <c r="AP527" t="s">
        <v>225</v>
      </c>
      <c r="AQ527">
        <v>0.13</v>
      </c>
      <c r="AR527" t="s">
        <v>238</v>
      </c>
    </row>
    <row r="528" hidden="1" spans="1:44">
      <c r="A528" t="s">
        <v>58</v>
      </c>
      <c r="B528" t="s">
        <v>23</v>
      </c>
      <c r="C528" s="209" t="s">
        <v>24</v>
      </c>
      <c r="D528" s="210">
        <v>71000121052686</v>
      </c>
      <c r="E528" s="211">
        <v>44347</v>
      </c>
      <c r="F528" t="s">
        <v>218</v>
      </c>
      <c r="G528" t="s">
        <v>260</v>
      </c>
      <c r="H528">
        <v>2</v>
      </c>
      <c r="I528" t="s">
        <v>94</v>
      </c>
      <c r="J528" t="s">
        <v>220</v>
      </c>
      <c r="K528" t="s">
        <v>221</v>
      </c>
      <c r="L528">
        <v>1400</v>
      </c>
      <c r="M528" s="211">
        <v>44383</v>
      </c>
      <c r="N528" s="211">
        <v>44393</v>
      </c>
      <c r="O528" s="212" t="s">
        <v>60</v>
      </c>
      <c r="P528" t="s">
        <v>261</v>
      </c>
      <c r="S528">
        <v>0</v>
      </c>
      <c r="T528">
        <v>0</v>
      </c>
      <c r="U528">
        <v>0</v>
      </c>
      <c r="V528">
        <v>0</v>
      </c>
      <c r="W528">
        <v>0</v>
      </c>
      <c r="X528" s="140">
        <v>1400</v>
      </c>
      <c r="Y528" s="209">
        <f t="shared" si="8"/>
        <v>1400</v>
      </c>
      <c r="Z528">
        <v>0</v>
      </c>
      <c r="AE528"/>
      <c r="AF528"/>
      <c r="AG528" t="s">
        <v>223</v>
      </c>
      <c r="AN528" t="s">
        <v>218</v>
      </c>
      <c r="AO528" t="s">
        <v>262</v>
      </c>
      <c r="AP528" t="s">
        <v>225</v>
      </c>
      <c r="AQ528">
        <v>0.13</v>
      </c>
      <c r="AR528" t="s">
        <v>238</v>
      </c>
    </row>
    <row r="529" hidden="1" spans="1:44">
      <c r="A529" t="s">
        <v>58</v>
      </c>
      <c r="B529" t="s">
        <v>23</v>
      </c>
      <c r="C529" s="209" t="s">
        <v>24</v>
      </c>
      <c r="D529" s="210">
        <v>71000121052686</v>
      </c>
      <c r="E529" s="211">
        <v>44347</v>
      </c>
      <c r="F529" t="s">
        <v>218</v>
      </c>
      <c r="G529" t="s">
        <v>260</v>
      </c>
      <c r="H529">
        <v>3</v>
      </c>
      <c r="I529" t="s">
        <v>94</v>
      </c>
      <c r="J529" t="s">
        <v>220</v>
      </c>
      <c r="K529" t="s">
        <v>221</v>
      </c>
      <c r="L529">
        <v>5400</v>
      </c>
      <c r="M529" s="211">
        <v>44379</v>
      </c>
      <c r="N529" s="211">
        <v>44394</v>
      </c>
      <c r="O529" s="212" t="s">
        <v>60</v>
      </c>
      <c r="P529" t="s">
        <v>261</v>
      </c>
      <c r="S529">
        <v>2357</v>
      </c>
      <c r="T529">
        <v>2357</v>
      </c>
      <c r="U529">
        <v>0</v>
      </c>
      <c r="V529">
        <v>2357</v>
      </c>
      <c r="W529">
        <v>0</v>
      </c>
      <c r="X529" s="140">
        <v>3043</v>
      </c>
      <c r="Y529" s="209">
        <f t="shared" si="8"/>
        <v>3043</v>
      </c>
      <c r="Z529">
        <v>0</v>
      </c>
      <c r="AE529">
        <v>44386</v>
      </c>
      <c r="AF529">
        <v>44386</v>
      </c>
      <c r="AG529" t="s">
        <v>223</v>
      </c>
      <c r="AN529" t="s">
        <v>218</v>
      </c>
      <c r="AO529" t="s">
        <v>262</v>
      </c>
      <c r="AP529" t="s">
        <v>225</v>
      </c>
      <c r="AQ529">
        <v>0.13</v>
      </c>
      <c r="AR529" t="s">
        <v>238</v>
      </c>
    </row>
    <row r="530" hidden="1" spans="1:44">
      <c r="A530" t="s">
        <v>58</v>
      </c>
      <c r="B530" t="s">
        <v>23</v>
      </c>
      <c r="C530" s="209" t="s">
        <v>24</v>
      </c>
      <c r="D530" s="210">
        <v>71000121052686</v>
      </c>
      <c r="E530" s="211">
        <v>44347</v>
      </c>
      <c r="F530" t="s">
        <v>218</v>
      </c>
      <c r="G530" t="s">
        <v>260</v>
      </c>
      <c r="H530">
        <v>4</v>
      </c>
      <c r="I530" t="s">
        <v>94</v>
      </c>
      <c r="J530" t="s">
        <v>220</v>
      </c>
      <c r="K530" t="s">
        <v>221</v>
      </c>
      <c r="L530">
        <v>3100</v>
      </c>
      <c r="M530" s="211">
        <v>44376</v>
      </c>
      <c r="N530" s="211">
        <v>44394</v>
      </c>
      <c r="O530" s="212" t="s">
        <v>60</v>
      </c>
      <c r="P530" t="s">
        <v>261</v>
      </c>
      <c r="S530">
        <v>868</v>
      </c>
      <c r="T530">
        <v>868</v>
      </c>
      <c r="U530">
        <v>0</v>
      </c>
      <c r="V530">
        <v>868</v>
      </c>
      <c r="W530">
        <v>0</v>
      </c>
      <c r="X530" s="140">
        <v>2232</v>
      </c>
      <c r="Y530" s="209">
        <f t="shared" si="8"/>
        <v>2232</v>
      </c>
      <c r="Z530">
        <v>0</v>
      </c>
      <c r="AE530">
        <v>44385</v>
      </c>
      <c r="AF530">
        <v>44385</v>
      </c>
      <c r="AG530" t="s">
        <v>223</v>
      </c>
      <c r="AN530" t="s">
        <v>218</v>
      </c>
      <c r="AO530" t="s">
        <v>262</v>
      </c>
      <c r="AP530" t="s">
        <v>225</v>
      </c>
      <c r="AQ530">
        <v>0.13</v>
      </c>
      <c r="AR530" t="s">
        <v>238</v>
      </c>
    </row>
    <row r="531" hidden="1" spans="1:44">
      <c r="A531" t="s">
        <v>58</v>
      </c>
      <c r="B531" t="s">
        <v>23</v>
      </c>
      <c r="C531" s="209" t="s">
        <v>24</v>
      </c>
      <c r="D531" s="210">
        <v>71000121052686</v>
      </c>
      <c r="E531" s="211">
        <v>44347</v>
      </c>
      <c r="F531" t="s">
        <v>218</v>
      </c>
      <c r="G531" t="s">
        <v>260</v>
      </c>
      <c r="H531">
        <v>6</v>
      </c>
      <c r="I531" t="s">
        <v>94</v>
      </c>
      <c r="J531" t="s">
        <v>220</v>
      </c>
      <c r="K531" t="s">
        <v>221</v>
      </c>
      <c r="L531">
        <v>1800</v>
      </c>
      <c r="M531" s="211">
        <v>44369</v>
      </c>
      <c r="N531" s="211">
        <v>44394</v>
      </c>
      <c r="O531" s="212" t="s">
        <v>60</v>
      </c>
      <c r="P531" t="s">
        <v>261</v>
      </c>
      <c r="S531">
        <v>1008</v>
      </c>
      <c r="T531">
        <v>1008</v>
      </c>
      <c r="U531">
        <v>0</v>
      </c>
      <c r="V531">
        <v>1008</v>
      </c>
      <c r="W531">
        <v>0</v>
      </c>
      <c r="X531" s="140">
        <v>792</v>
      </c>
      <c r="Y531" s="209">
        <f t="shared" si="8"/>
        <v>792</v>
      </c>
      <c r="Z531">
        <v>0</v>
      </c>
      <c r="AE531">
        <v>44385</v>
      </c>
      <c r="AF531">
        <v>44385</v>
      </c>
      <c r="AG531" t="s">
        <v>223</v>
      </c>
      <c r="AN531" t="s">
        <v>218</v>
      </c>
      <c r="AO531" t="s">
        <v>262</v>
      </c>
      <c r="AP531" t="s">
        <v>225</v>
      </c>
      <c r="AQ531">
        <v>0.13</v>
      </c>
      <c r="AR531" t="s">
        <v>238</v>
      </c>
    </row>
    <row r="532" hidden="1" spans="1:44">
      <c r="A532" t="s">
        <v>58</v>
      </c>
      <c r="B532" t="s">
        <v>23</v>
      </c>
      <c r="C532" s="209" t="s">
        <v>24</v>
      </c>
      <c r="D532" s="210">
        <v>71000121052722</v>
      </c>
      <c r="E532" s="211">
        <v>44347</v>
      </c>
      <c r="F532" t="s">
        <v>218</v>
      </c>
      <c r="G532" t="s">
        <v>260</v>
      </c>
      <c r="H532">
        <v>1</v>
      </c>
      <c r="I532" t="s">
        <v>91</v>
      </c>
      <c r="J532" t="s">
        <v>269</v>
      </c>
      <c r="K532" t="s">
        <v>221</v>
      </c>
      <c r="L532">
        <v>2300</v>
      </c>
      <c r="M532" s="211">
        <v>44377</v>
      </c>
      <c r="N532" s="211">
        <v>44394</v>
      </c>
      <c r="O532" s="212" t="s">
        <v>60</v>
      </c>
      <c r="P532" t="s">
        <v>261</v>
      </c>
      <c r="S532">
        <v>1860</v>
      </c>
      <c r="T532">
        <v>1860</v>
      </c>
      <c r="U532">
        <v>0</v>
      </c>
      <c r="V532">
        <v>1860</v>
      </c>
      <c r="W532">
        <v>1860</v>
      </c>
      <c r="X532" s="140">
        <v>440</v>
      </c>
      <c r="Y532" s="209">
        <f t="shared" si="8"/>
        <v>440</v>
      </c>
      <c r="Z532">
        <v>0</v>
      </c>
      <c r="AE532">
        <v>44371</v>
      </c>
      <c r="AF532">
        <v>44371</v>
      </c>
      <c r="AG532" t="s">
        <v>223</v>
      </c>
      <c r="AN532" t="s">
        <v>218</v>
      </c>
      <c r="AO532" t="s">
        <v>262</v>
      </c>
      <c r="AP532" t="s">
        <v>225</v>
      </c>
      <c r="AQ532">
        <v>0.13</v>
      </c>
      <c r="AR532" t="s">
        <v>238</v>
      </c>
    </row>
    <row r="533" hidden="1" spans="1:44">
      <c r="A533" t="s">
        <v>58</v>
      </c>
      <c r="B533" t="s">
        <v>23</v>
      </c>
      <c r="C533" s="209" t="s">
        <v>24</v>
      </c>
      <c r="D533" s="210">
        <v>71000121060021</v>
      </c>
      <c r="E533" s="211">
        <v>44348</v>
      </c>
      <c r="F533" t="s">
        <v>218</v>
      </c>
      <c r="G533" t="s">
        <v>260</v>
      </c>
      <c r="H533">
        <v>1</v>
      </c>
      <c r="I533" t="s">
        <v>91</v>
      </c>
      <c r="J533" t="s">
        <v>269</v>
      </c>
      <c r="K533" t="s">
        <v>221</v>
      </c>
      <c r="L533">
        <v>1000</v>
      </c>
      <c r="M533" s="211">
        <v>44372</v>
      </c>
      <c r="N533" s="211">
        <v>44394</v>
      </c>
      <c r="O533" s="212" t="s">
        <v>60</v>
      </c>
      <c r="P533" t="s">
        <v>261</v>
      </c>
      <c r="S533">
        <v>426</v>
      </c>
      <c r="T533">
        <v>426</v>
      </c>
      <c r="U533">
        <v>0</v>
      </c>
      <c r="V533">
        <v>426</v>
      </c>
      <c r="W533">
        <v>426</v>
      </c>
      <c r="X533" s="140">
        <v>574</v>
      </c>
      <c r="Y533" s="209">
        <f t="shared" si="8"/>
        <v>574</v>
      </c>
      <c r="Z533">
        <v>0</v>
      </c>
      <c r="AE533">
        <v>44373</v>
      </c>
      <c r="AF533">
        <v>44374</v>
      </c>
      <c r="AG533" t="s">
        <v>223</v>
      </c>
      <c r="AN533" t="s">
        <v>218</v>
      </c>
      <c r="AO533" t="s">
        <v>262</v>
      </c>
      <c r="AP533" t="s">
        <v>225</v>
      </c>
      <c r="AQ533">
        <v>0.13</v>
      </c>
      <c r="AR533" t="s">
        <v>238</v>
      </c>
    </row>
    <row r="534" hidden="1" spans="1:44">
      <c r="A534" t="s">
        <v>58</v>
      </c>
      <c r="B534" t="s">
        <v>23</v>
      </c>
      <c r="C534" s="209" t="s">
        <v>24</v>
      </c>
      <c r="D534" s="210">
        <v>71000121061403</v>
      </c>
      <c r="E534" s="211">
        <v>44365</v>
      </c>
      <c r="F534" t="s">
        <v>218</v>
      </c>
      <c r="G534" t="s">
        <v>260</v>
      </c>
      <c r="H534">
        <v>1</v>
      </c>
      <c r="I534" t="s">
        <v>91</v>
      </c>
      <c r="J534" t="s">
        <v>269</v>
      </c>
      <c r="K534" t="s">
        <v>221</v>
      </c>
      <c r="L534">
        <v>600</v>
      </c>
      <c r="M534" s="211">
        <v>44387</v>
      </c>
      <c r="N534" s="211">
        <v>44394</v>
      </c>
      <c r="O534" s="212" t="s">
        <v>60</v>
      </c>
      <c r="P534" t="s">
        <v>261</v>
      </c>
      <c r="S534">
        <v>0</v>
      </c>
      <c r="T534">
        <v>0</v>
      </c>
      <c r="U534">
        <v>0</v>
      </c>
      <c r="V534">
        <v>0</v>
      </c>
      <c r="W534">
        <v>0</v>
      </c>
      <c r="X534" s="140">
        <v>600</v>
      </c>
      <c r="Y534" s="209">
        <f t="shared" si="8"/>
        <v>600</v>
      </c>
      <c r="Z534">
        <v>0</v>
      </c>
      <c r="AE534"/>
      <c r="AF534"/>
      <c r="AG534" t="s">
        <v>223</v>
      </c>
      <c r="AN534" t="s">
        <v>218</v>
      </c>
      <c r="AO534" t="s">
        <v>262</v>
      </c>
      <c r="AP534" t="s">
        <v>225</v>
      </c>
      <c r="AQ534">
        <v>0.13</v>
      </c>
      <c r="AR534" t="s">
        <v>238</v>
      </c>
    </row>
    <row r="535" spans="1:44">
      <c r="A535" t="s">
        <v>58</v>
      </c>
      <c r="B535" t="s">
        <v>23</v>
      </c>
      <c r="C535" s="209" t="s">
        <v>24</v>
      </c>
      <c r="D535" s="210">
        <v>71000121062178</v>
      </c>
      <c r="E535" s="211">
        <v>44375</v>
      </c>
      <c r="F535" t="s">
        <v>218</v>
      </c>
      <c r="G535" t="s">
        <v>260</v>
      </c>
      <c r="H535">
        <v>1</v>
      </c>
      <c r="I535" t="s">
        <v>93</v>
      </c>
      <c r="J535" t="s">
        <v>220</v>
      </c>
      <c r="K535" t="s">
        <v>221</v>
      </c>
      <c r="L535">
        <v>1500</v>
      </c>
      <c r="M535" s="211">
        <v>44379</v>
      </c>
      <c r="N535" s="211">
        <v>44394</v>
      </c>
      <c r="O535" s="212" t="s">
        <v>60</v>
      </c>
      <c r="P535" t="s">
        <v>261</v>
      </c>
      <c r="S535">
        <v>400</v>
      </c>
      <c r="T535">
        <v>400</v>
      </c>
      <c r="U535">
        <v>0</v>
      </c>
      <c r="V535">
        <v>400</v>
      </c>
      <c r="W535">
        <v>0</v>
      </c>
      <c r="X535" s="140">
        <v>1100</v>
      </c>
      <c r="Y535" s="209">
        <f t="shared" si="8"/>
        <v>1100</v>
      </c>
      <c r="Z535">
        <v>0</v>
      </c>
      <c r="AE535">
        <v>44388</v>
      </c>
      <c r="AF535">
        <v>44388</v>
      </c>
      <c r="AG535" t="s">
        <v>223</v>
      </c>
      <c r="AN535" t="s">
        <v>218</v>
      </c>
      <c r="AO535" t="s">
        <v>262</v>
      </c>
      <c r="AP535" t="s">
        <v>225</v>
      </c>
      <c r="AQ535">
        <v>0.13</v>
      </c>
      <c r="AR535" t="s">
        <v>238</v>
      </c>
    </row>
    <row r="536" hidden="1" spans="1:44">
      <c r="A536" t="s">
        <v>58</v>
      </c>
      <c r="B536" t="s">
        <v>23</v>
      </c>
      <c r="C536" s="209" t="s">
        <v>24</v>
      </c>
      <c r="D536" s="210">
        <v>71000121062320</v>
      </c>
      <c r="E536" s="211">
        <v>44377</v>
      </c>
      <c r="F536" t="s">
        <v>218</v>
      </c>
      <c r="G536" t="s">
        <v>260</v>
      </c>
      <c r="H536">
        <v>1</v>
      </c>
      <c r="I536" t="s">
        <v>92</v>
      </c>
      <c r="J536" t="s">
        <v>254</v>
      </c>
      <c r="K536" t="s">
        <v>221</v>
      </c>
      <c r="L536">
        <v>1900</v>
      </c>
      <c r="M536" s="211">
        <v>44397</v>
      </c>
      <c r="N536" s="211">
        <v>44394</v>
      </c>
      <c r="O536" s="212" t="s">
        <v>60</v>
      </c>
      <c r="P536" t="s">
        <v>261</v>
      </c>
      <c r="S536">
        <v>0</v>
      </c>
      <c r="T536">
        <v>0</v>
      </c>
      <c r="U536">
        <v>0</v>
      </c>
      <c r="V536">
        <v>0</v>
      </c>
      <c r="W536">
        <v>0</v>
      </c>
      <c r="X536" s="140">
        <v>1900</v>
      </c>
      <c r="Y536" s="209">
        <f t="shared" si="8"/>
        <v>1900</v>
      </c>
      <c r="Z536">
        <v>0</v>
      </c>
      <c r="AE536"/>
      <c r="AF536"/>
      <c r="AG536" t="s">
        <v>223</v>
      </c>
      <c r="AN536" t="s">
        <v>218</v>
      </c>
      <c r="AO536" t="s">
        <v>262</v>
      </c>
      <c r="AP536" t="s">
        <v>225</v>
      </c>
      <c r="AQ536">
        <v>0.13</v>
      </c>
      <c r="AR536" t="s">
        <v>238</v>
      </c>
    </row>
    <row r="537" hidden="1" spans="1:44">
      <c r="A537" t="s">
        <v>58</v>
      </c>
      <c r="B537" t="s">
        <v>23</v>
      </c>
      <c r="C537" s="209" t="s">
        <v>24</v>
      </c>
      <c r="D537" s="210">
        <v>71000121062320</v>
      </c>
      <c r="E537" s="211">
        <v>44377</v>
      </c>
      <c r="F537" t="s">
        <v>218</v>
      </c>
      <c r="G537" t="s">
        <v>260</v>
      </c>
      <c r="H537">
        <v>2</v>
      </c>
      <c r="I537" t="s">
        <v>92</v>
      </c>
      <c r="J537" t="s">
        <v>254</v>
      </c>
      <c r="K537" t="s">
        <v>221</v>
      </c>
      <c r="L537">
        <v>3000</v>
      </c>
      <c r="M537" s="211">
        <v>44387</v>
      </c>
      <c r="N537" s="211">
        <v>44394</v>
      </c>
      <c r="O537" s="212" t="s">
        <v>60</v>
      </c>
      <c r="P537" t="s">
        <v>261</v>
      </c>
      <c r="S537">
        <v>20</v>
      </c>
      <c r="T537">
        <v>20</v>
      </c>
      <c r="U537">
        <v>0</v>
      </c>
      <c r="V537">
        <v>20</v>
      </c>
      <c r="W537">
        <v>0</v>
      </c>
      <c r="X537" s="140">
        <v>2980</v>
      </c>
      <c r="Y537" s="209">
        <f t="shared" si="8"/>
        <v>2980</v>
      </c>
      <c r="Z537">
        <v>0</v>
      </c>
      <c r="AE537">
        <v>44392</v>
      </c>
      <c r="AF537">
        <v>44392</v>
      </c>
      <c r="AG537" t="s">
        <v>223</v>
      </c>
      <c r="AN537" t="s">
        <v>218</v>
      </c>
      <c r="AO537" t="s">
        <v>262</v>
      </c>
      <c r="AP537" t="s">
        <v>225</v>
      </c>
      <c r="AQ537">
        <v>0.13</v>
      </c>
      <c r="AR537" t="s">
        <v>238</v>
      </c>
    </row>
    <row r="538" spans="1:44">
      <c r="A538" t="s">
        <v>58</v>
      </c>
      <c r="B538" t="s">
        <v>23</v>
      </c>
      <c r="C538" s="209" t="s">
        <v>24</v>
      </c>
      <c r="D538" s="210">
        <v>71000121070139</v>
      </c>
      <c r="E538" s="211">
        <v>44379</v>
      </c>
      <c r="F538" t="s">
        <v>218</v>
      </c>
      <c r="G538" t="s">
        <v>260</v>
      </c>
      <c r="H538">
        <v>1</v>
      </c>
      <c r="I538" t="s">
        <v>93</v>
      </c>
      <c r="J538" t="s">
        <v>220</v>
      </c>
      <c r="K538" t="s">
        <v>221</v>
      </c>
      <c r="L538">
        <v>400</v>
      </c>
      <c r="M538" s="211">
        <v>44405</v>
      </c>
      <c r="N538" s="211">
        <v>44394</v>
      </c>
      <c r="O538" s="212" t="s">
        <v>60</v>
      </c>
      <c r="P538" t="s">
        <v>261</v>
      </c>
      <c r="S538">
        <v>0</v>
      </c>
      <c r="T538">
        <v>0</v>
      </c>
      <c r="U538">
        <v>0</v>
      </c>
      <c r="V538">
        <v>0</v>
      </c>
      <c r="W538">
        <v>0</v>
      </c>
      <c r="X538" s="140">
        <v>400</v>
      </c>
      <c r="Y538" s="209">
        <f t="shared" si="8"/>
        <v>400</v>
      </c>
      <c r="Z538">
        <v>0</v>
      </c>
      <c r="AE538"/>
      <c r="AF538"/>
      <c r="AG538" t="s">
        <v>223</v>
      </c>
      <c r="AN538" t="s">
        <v>218</v>
      </c>
      <c r="AO538" t="s">
        <v>262</v>
      </c>
      <c r="AP538" t="s">
        <v>225</v>
      </c>
      <c r="AQ538">
        <v>0.13</v>
      </c>
      <c r="AR538" t="s">
        <v>238</v>
      </c>
    </row>
    <row r="539" hidden="1" spans="1:44">
      <c r="A539" t="s">
        <v>58</v>
      </c>
      <c r="B539" t="s">
        <v>23</v>
      </c>
      <c r="C539" s="209" t="s">
        <v>24</v>
      </c>
      <c r="D539" s="210">
        <v>71000121070381</v>
      </c>
      <c r="E539" s="211">
        <v>44382</v>
      </c>
      <c r="F539" t="s">
        <v>218</v>
      </c>
      <c r="G539" t="s">
        <v>260</v>
      </c>
      <c r="H539">
        <v>1</v>
      </c>
      <c r="I539" t="s">
        <v>94</v>
      </c>
      <c r="J539" t="s">
        <v>220</v>
      </c>
      <c r="K539" t="s">
        <v>221</v>
      </c>
      <c r="L539">
        <v>2500</v>
      </c>
      <c r="M539" s="211">
        <v>44393</v>
      </c>
      <c r="O539" s="212" t="s">
        <v>60</v>
      </c>
      <c r="P539" t="s">
        <v>261</v>
      </c>
      <c r="S539">
        <v>0</v>
      </c>
      <c r="T539">
        <v>0</v>
      </c>
      <c r="U539">
        <v>0</v>
      </c>
      <c r="V539">
        <v>0</v>
      </c>
      <c r="W539">
        <v>0</v>
      </c>
      <c r="X539" s="140">
        <v>2500</v>
      </c>
      <c r="Y539" s="209">
        <f t="shared" si="8"/>
        <v>2500</v>
      </c>
      <c r="Z539">
        <v>0</v>
      </c>
      <c r="AE539"/>
      <c r="AF539"/>
      <c r="AG539" t="s">
        <v>223</v>
      </c>
      <c r="AN539" t="s">
        <v>218</v>
      </c>
      <c r="AO539" t="s">
        <v>262</v>
      </c>
      <c r="AP539" t="s">
        <v>225</v>
      </c>
      <c r="AQ539">
        <v>0.13</v>
      </c>
      <c r="AR539" t="s">
        <v>238</v>
      </c>
    </row>
    <row r="540" hidden="1" spans="1:44">
      <c r="A540" t="s">
        <v>58</v>
      </c>
      <c r="B540" t="s">
        <v>23</v>
      </c>
      <c r="C540" s="209" t="s">
        <v>24</v>
      </c>
      <c r="D540" s="210">
        <v>71000121070381</v>
      </c>
      <c r="E540" s="211">
        <v>44382</v>
      </c>
      <c r="F540" t="s">
        <v>218</v>
      </c>
      <c r="G540" t="s">
        <v>260</v>
      </c>
      <c r="H540">
        <v>2</v>
      </c>
      <c r="I540" t="s">
        <v>94</v>
      </c>
      <c r="J540" t="s">
        <v>220</v>
      </c>
      <c r="K540" t="s">
        <v>221</v>
      </c>
      <c r="L540">
        <v>2500</v>
      </c>
      <c r="M540" s="211">
        <v>44398</v>
      </c>
      <c r="O540" s="212" t="s">
        <v>60</v>
      </c>
      <c r="P540" t="s">
        <v>261</v>
      </c>
      <c r="S540">
        <v>0</v>
      </c>
      <c r="T540">
        <v>0</v>
      </c>
      <c r="U540">
        <v>0</v>
      </c>
      <c r="V540">
        <v>0</v>
      </c>
      <c r="W540">
        <v>0</v>
      </c>
      <c r="X540" s="140">
        <v>2500</v>
      </c>
      <c r="Y540" s="209">
        <f t="shared" si="8"/>
        <v>2500</v>
      </c>
      <c r="Z540">
        <v>0</v>
      </c>
      <c r="AE540"/>
      <c r="AF540"/>
      <c r="AG540" t="s">
        <v>223</v>
      </c>
      <c r="AN540" t="s">
        <v>218</v>
      </c>
      <c r="AO540" t="s">
        <v>262</v>
      </c>
      <c r="AP540" t="s">
        <v>225</v>
      </c>
      <c r="AQ540">
        <v>0.13</v>
      </c>
      <c r="AR540" t="s">
        <v>238</v>
      </c>
    </row>
    <row r="541" spans="1:44">
      <c r="A541" t="s">
        <v>58</v>
      </c>
      <c r="B541" t="s">
        <v>23</v>
      </c>
      <c r="C541" s="209" t="s">
        <v>24</v>
      </c>
      <c r="D541" s="210">
        <v>71000121070710</v>
      </c>
      <c r="E541" s="211">
        <v>44384</v>
      </c>
      <c r="F541" t="s">
        <v>218</v>
      </c>
      <c r="G541" t="s">
        <v>260</v>
      </c>
      <c r="H541">
        <v>1</v>
      </c>
      <c r="I541" t="s">
        <v>93</v>
      </c>
      <c r="J541" t="s">
        <v>220</v>
      </c>
      <c r="K541" t="s">
        <v>221</v>
      </c>
      <c r="L541">
        <v>1600</v>
      </c>
      <c r="M541" s="211">
        <v>44400</v>
      </c>
      <c r="O541" s="212" t="s">
        <v>60</v>
      </c>
      <c r="P541" t="s">
        <v>261</v>
      </c>
      <c r="S541">
        <v>0</v>
      </c>
      <c r="T541">
        <v>0</v>
      </c>
      <c r="U541">
        <v>0</v>
      </c>
      <c r="V541">
        <v>0</v>
      </c>
      <c r="W541">
        <v>0</v>
      </c>
      <c r="X541" s="140">
        <v>1600</v>
      </c>
      <c r="Y541" s="209">
        <f t="shared" si="8"/>
        <v>1600</v>
      </c>
      <c r="Z541">
        <v>0</v>
      </c>
      <c r="AE541"/>
      <c r="AF541"/>
      <c r="AG541" t="s">
        <v>223</v>
      </c>
      <c r="AN541" t="s">
        <v>218</v>
      </c>
      <c r="AO541" t="s">
        <v>262</v>
      </c>
      <c r="AP541" t="s">
        <v>225</v>
      </c>
      <c r="AQ541">
        <v>0.13</v>
      </c>
      <c r="AR541" t="s">
        <v>238</v>
      </c>
    </row>
    <row r="542" spans="1:44">
      <c r="A542" t="s">
        <v>58</v>
      </c>
      <c r="B542" t="s">
        <v>23</v>
      </c>
      <c r="C542" s="209" t="s">
        <v>24</v>
      </c>
      <c r="D542" s="210">
        <v>71000121070710</v>
      </c>
      <c r="E542" s="211">
        <v>44384</v>
      </c>
      <c r="F542" t="s">
        <v>218</v>
      </c>
      <c r="G542" t="s">
        <v>260</v>
      </c>
      <c r="H542">
        <v>2</v>
      </c>
      <c r="I542" t="s">
        <v>93</v>
      </c>
      <c r="J542" t="s">
        <v>220</v>
      </c>
      <c r="K542" t="s">
        <v>221</v>
      </c>
      <c r="L542">
        <v>1600</v>
      </c>
      <c r="M542" s="211">
        <v>44400</v>
      </c>
      <c r="O542" s="212" t="s">
        <v>60</v>
      </c>
      <c r="P542" t="s">
        <v>261</v>
      </c>
      <c r="S542">
        <v>0</v>
      </c>
      <c r="T542">
        <v>0</v>
      </c>
      <c r="U542">
        <v>0</v>
      </c>
      <c r="V542">
        <v>0</v>
      </c>
      <c r="W542">
        <v>0</v>
      </c>
      <c r="X542" s="140">
        <v>1600</v>
      </c>
      <c r="Y542" s="209">
        <f t="shared" si="8"/>
        <v>1600</v>
      </c>
      <c r="Z542">
        <v>0</v>
      </c>
      <c r="AE542"/>
      <c r="AF542"/>
      <c r="AG542" t="s">
        <v>223</v>
      </c>
      <c r="AN542" t="s">
        <v>218</v>
      </c>
      <c r="AO542" t="s">
        <v>262</v>
      </c>
      <c r="AP542" t="s">
        <v>225</v>
      </c>
      <c r="AQ542">
        <v>0.13</v>
      </c>
      <c r="AR542" t="s">
        <v>238</v>
      </c>
    </row>
    <row r="543" spans="1:44">
      <c r="A543" t="s">
        <v>58</v>
      </c>
      <c r="B543" t="s">
        <v>23</v>
      </c>
      <c r="C543" s="209" t="s">
        <v>24</v>
      </c>
      <c r="D543" s="210">
        <v>71000121070710</v>
      </c>
      <c r="E543" s="211">
        <v>44384</v>
      </c>
      <c r="F543" t="s">
        <v>218</v>
      </c>
      <c r="G543" t="s">
        <v>260</v>
      </c>
      <c r="H543">
        <v>3</v>
      </c>
      <c r="I543" t="s">
        <v>93</v>
      </c>
      <c r="J543" t="s">
        <v>220</v>
      </c>
      <c r="K543" t="s">
        <v>221</v>
      </c>
      <c r="L543">
        <v>1600</v>
      </c>
      <c r="M543" s="211">
        <v>44400</v>
      </c>
      <c r="O543" s="212" t="s">
        <v>60</v>
      </c>
      <c r="P543" t="s">
        <v>261</v>
      </c>
      <c r="S543">
        <v>0</v>
      </c>
      <c r="T543">
        <v>0</v>
      </c>
      <c r="U543">
        <v>0</v>
      </c>
      <c r="V543">
        <v>0</v>
      </c>
      <c r="W543">
        <v>0</v>
      </c>
      <c r="X543" s="140">
        <v>1600</v>
      </c>
      <c r="Y543" s="209">
        <f t="shared" si="8"/>
        <v>1600</v>
      </c>
      <c r="Z543">
        <v>0</v>
      </c>
      <c r="AE543"/>
      <c r="AF543"/>
      <c r="AG543" t="s">
        <v>223</v>
      </c>
      <c r="AN543" t="s">
        <v>218</v>
      </c>
      <c r="AO543" t="s">
        <v>262</v>
      </c>
      <c r="AP543" t="s">
        <v>225</v>
      </c>
      <c r="AQ543">
        <v>0.13</v>
      </c>
      <c r="AR543" t="s">
        <v>238</v>
      </c>
    </row>
    <row r="544" hidden="1" spans="1:44">
      <c r="A544" t="s">
        <v>58</v>
      </c>
      <c r="B544" t="s">
        <v>28</v>
      </c>
      <c r="C544" s="209" t="s">
        <v>29</v>
      </c>
      <c r="D544" s="210">
        <v>71000121052005</v>
      </c>
      <c r="E544" s="211">
        <v>44340</v>
      </c>
      <c r="F544" t="s">
        <v>245</v>
      </c>
      <c r="G544" t="s">
        <v>260</v>
      </c>
      <c r="H544">
        <v>1</v>
      </c>
      <c r="I544" t="s">
        <v>73</v>
      </c>
      <c r="J544" t="s">
        <v>220</v>
      </c>
      <c r="K544" t="s">
        <v>221</v>
      </c>
      <c r="L544">
        <v>6075</v>
      </c>
      <c r="M544" s="211">
        <v>44377</v>
      </c>
      <c r="N544" s="211">
        <v>44394</v>
      </c>
      <c r="O544" s="212" t="s">
        <v>60</v>
      </c>
      <c r="P544" t="s">
        <v>261</v>
      </c>
      <c r="S544">
        <v>6075</v>
      </c>
      <c r="T544">
        <v>5720</v>
      </c>
      <c r="U544">
        <v>0</v>
      </c>
      <c r="V544">
        <v>5720</v>
      </c>
      <c r="W544">
        <v>5720</v>
      </c>
      <c r="X544" s="140">
        <v>355</v>
      </c>
      <c r="Y544" s="209">
        <f t="shared" si="8"/>
        <v>0</v>
      </c>
      <c r="Z544">
        <v>0</v>
      </c>
      <c r="AE544" s="211">
        <v>44393</v>
      </c>
      <c r="AF544" s="211">
        <v>44374</v>
      </c>
      <c r="AG544" t="s">
        <v>223</v>
      </c>
      <c r="AN544" t="s">
        <v>218</v>
      </c>
      <c r="AO544" t="s">
        <v>262</v>
      </c>
      <c r="AP544" t="s">
        <v>225</v>
      </c>
      <c r="AQ544">
        <v>0.13</v>
      </c>
      <c r="AR544" t="s">
        <v>238</v>
      </c>
    </row>
    <row r="545" hidden="1" spans="1:44">
      <c r="A545" t="s">
        <v>58</v>
      </c>
      <c r="B545" t="s">
        <v>28</v>
      </c>
      <c r="C545" s="209" t="s">
        <v>29</v>
      </c>
      <c r="D545" s="210">
        <v>71000121052603</v>
      </c>
      <c r="E545" s="211">
        <v>44347</v>
      </c>
      <c r="F545" t="s">
        <v>218</v>
      </c>
      <c r="G545" t="s">
        <v>260</v>
      </c>
      <c r="H545">
        <v>1</v>
      </c>
      <c r="I545" t="s">
        <v>73</v>
      </c>
      <c r="J545" t="s">
        <v>220</v>
      </c>
      <c r="K545" t="s">
        <v>221</v>
      </c>
      <c r="L545">
        <v>20000</v>
      </c>
      <c r="M545" s="211">
        <v>44393</v>
      </c>
      <c r="N545" s="211">
        <v>44394</v>
      </c>
      <c r="O545" s="212" t="s">
        <v>60</v>
      </c>
      <c r="P545" t="s">
        <v>261</v>
      </c>
      <c r="S545">
        <v>6515</v>
      </c>
      <c r="T545">
        <v>6515</v>
      </c>
      <c r="U545">
        <v>0</v>
      </c>
      <c r="V545">
        <v>6515</v>
      </c>
      <c r="W545">
        <v>415</v>
      </c>
      <c r="X545" s="140">
        <v>13485</v>
      </c>
      <c r="Y545" s="209">
        <f t="shared" si="8"/>
        <v>13485</v>
      </c>
      <c r="Z545">
        <v>0</v>
      </c>
      <c r="AE545">
        <v>44392</v>
      </c>
      <c r="AF545">
        <v>44392</v>
      </c>
      <c r="AG545" t="s">
        <v>223</v>
      </c>
      <c r="AN545" t="s">
        <v>218</v>
      </c>
      <c r="AO545" t="s">
        <v>262</v>
      </c>
      <c r="AP545" t="s">
        <v>225</v>
      </c>
      <c r="AQ545">
        <v>0.13</v>
      </c>
      <c r="AR545" t="s">
        <v>238</v>
      </c>
    </row>
    <row r="546" hidden="1" spans="1:44">
      <c r="A546" t="s">
        <v>58</v>
      </c>
      <c r="B546" t="s">
        <v>28</v>
      </c>
      <c r="C546" s="209" t="s">
        <v>29</v>
      </c>
      <c r="D546" s="210">
        <v>71000121061740</v>
      </c>
      <c r="E546" s="211">
        <v>44368</v>
      </c>
      <c r="F546" t="s">
        <v>218</v>
      </c>
      <c r="G546" t="s">
        <v>260</v>
      </c>
      <c r="H546">
        <v>1</v>
      </c>
      <c r="I546" t="s">
        <v>75</v>
      </c>
      <c r="J546" t="s">
        <v>220</v>
      </c>
      <c r="K546" t="s">
        <v>221</v>
      </c>
      <c r="L546">
        <v>5100</v>
      </c>
      <c r="M546" s="211">
        <v>44389</v>
      </c>
      <c r="N546" s="211">
        <v>44402</v>
      </c>
      <c r="O546" s="212" t="s">
        <v>60</v>
      </c>
      <c r="P546" t="s">
        <v>261</v>
      </c>
      <c r="S546">
        <v>0</v>
      </c>
      <c r="T546">
        <v>0</v>
      </c>
      <c r="U546">
        <v>0</v>
      </c>
      <c r="V546">
        <v>0</v>
      </c>
      <c r="W546">
        <v>0</v>
      </c>
      <c r="X546" s="140">
        <v>5100</v>
      </c>
      <c r="Y546" s="209">
        <f t="shared" si="8"/>
        <v>5100</v>
      </c>
      <c r="Z546">
        <v>0</v>
      </c>
      <c r="AE546"/>
      <c r="AF546"/>
      <c r="AG546" t="s">
        <v>223</v>
      </c>
      <c r="AN546" t="s">
        <v>218</v>
      </c>
      <c r="AO546" t="s">
        <v>262</v>
      </c>
      <c r="AP546" t="s">
        <v>225</v>
      </c>
      <c r="AQ546">
        <v>0.13</v>
      </c>
      <c r="AR546" t="s">
        <v>265</v>
      </c>
    </row>
    <row r="547" hidden="1" spans="1:44">
      <c r="A547" t="s">
        <v>58</v>
      </c>
      <c r="B547" t="s">
        <v>28</v>
      </c>
      <c r="C547" s="209" t="s">
        <v>29</v>
      </c>
      <c r="D547" s="210">
        <v>71000121061740</v>
      </c>
      <c r="E547" s="211">
        <v>44368</v>
      </c>
      <c r="F547" t="s">
        <v>218</v>
      </c>
      <c r="G547" t="s">
        <v>260</v>
      </c>
      <c r="H547">
        <v>2</v>
      </c>
      <c r="I547" t="s">
        <v>75</v>
      </c>
      <c r="J547" t="s">
        <v>220</v>
      </c>
      <c r="K547" t="s">
        <v>221</v>
      </c>
      <c r="L547">
        <v>1100</v>
      </c>
      <c r="M547" s="211">
        <v>44375</v>
      </c>
      <c r="N547" s="211">
        <v>44407</v>
      </c>
      <c r="O547" s="212" t="s">
        <v>60</v>
      </c>
      <c r="P547" t="s">
        <v>261</v>
      </c>
      <c r="S547">
        <v>0</v>
      </c>
      <c r="T547">
        <v>0</v>
      </c>
      <c r="U547">
        <v>0</v>
      </c>
      <c r="V547">
        <v>0</v>
      </c>
      <c r="W547">
        <v>0</v>
      </c>
      <c r="X547" s="140">
        <v>1100</v>
      </c>
      <c r="Y547" s="209">
        <f t="shared" si="8"/>
        <v>1100</v>
      </c>
      <c r="Z547">
        <v>0</v>
      </c>
      <c r="AE547"/>
      <c r="AF547"/>
      <c r="AG547" t="s">
        <v>223</v>
      </c>
      <c r="AN547" t="s">
        <v>218</v>
      </c>
      <c r="AO547" t="s">
        <v>262</v>
      </c>
      <c r="AP547" t="s">
        <v>225</v>
      </c>
      <c r="AQ547">
        <v>0.13</v>
      </c>
      <c r="AR547" t="s">
        <v>265</v>
      </c>
    </row>
    <row r="548" hidden="1" spans="1:44">
      <c r="A548" t="s">
        <v>58</v>
      </c>
      <c r="B548" t="s">
        <v>28</v>
      </c>
      <c r="C548" s="209" t="s">
        <v>29</v>
      </c>
      <c r="D548" s="210">
        <v>71000121062094</v>
      </c>
      <c r="E548" s="211">
        <v>44373</v>
      </c>
      <c r="F548" t="s">
        <v>218</v>
      </c>
      <c r="G548" t="s">
        <v>260</v>
      </c>
      <c r="H548">
        <v>1</v>
      </c>
      <c r="I548" t="s">
        <v>73</v>
      </c>
      <c r="J548" t="s">
        <v>220</v>
      </c>
      <c r="K548" t="s">
        <v>221</v>
      </c>
      <c r="L548">
        <v>9100</v>
      </c>
      <c r="M548" s="211">
        <v>44421</v>
      </c>
      <c r="N548" s="211">
        <v>44394</v>
      </c>
      <c r="O548" s="212" t="s">
        <v>60</v>
      </c>
      <c r="P548" t="s">
        <v>261</v>
      </c>
      <c r="S548">
        <v>0</v>
      </c>
      <c r="T548">
        <v>0</v>
      </c>
      <c r="U548">
        <v>0</v>
      </c>
      <c r="V548">
        <v>0</v>
      </c>
      <c r="W548">
        <v>0</v>
      </c>
      <c r="X548" s="140">
        <v>9100</v>
      </c>
      <c r="Y548" s="209">
        <f t="shared" si="8"/>
        <v>9100</v>
      </c>
      <c r="Z548">
        <v>0</v>
      </c>
      <c r="AE548"/>
      <c r="AF548"/>
      <c r="AG548" t="s">
        <v>223</v>
      </c>
      <c r="AN548" t="s">
        <v>218</v>
      </c>
      <c r="AO548" t="s">
        <v>262</v>
      </c>
      <c r="AP548" t="s">
        <v>225</v>
      </c>
      <c r="AQ548">
        <v>0.13</v>
      </c>
      <c r="AR548" t="s">
        <v>238</v>
      </c>
    </row>
    <row r="549" hidden="1" spans="1:44">
      <c r="A549" t="s">
        <v>58</v>
      </c>
      <c r="B549" t="s">
        <v>28</v>
      </c>
      <c r="C549" s="209" t="s">
        <v>29</v>
      </c>
      <c r="D549" s="210">
        <v>71000121062094</v>
      </c>
      <c r="E549" s="211">
        <v>44373</v>
      </c>
      <c r="F549" t="s">
        <v>218</v>
      </c>
      <c r="G549" t="s">
        <v>260</v>
      </c>
      <c r="H549">
        <v>2</v>
      </c>
      <c r="I549" t="s">
        <v>73</v>
      </c>
      <c r="J549" t="s">
        <v>220</v>
      </c>
      <c r="K549" t="s">
        <v>221</v>
      </c>
      <c r="L549">
        <v>4500</v>
      </c>
      <c r="M549" s="211">
        <v>44456</v>
      </c>
      <c r="O549" s="212" t="s">
        <v>241</v>
      </c>
      <c r="P549" t="s">
        <v>261</v>
      </c>
      <c r="S549">
        <v>0</v>
      </c>
      <c r="T549">
        <v>0</v>
      </c>
      <c r="U549">
        <v>0</v>
      </c>
      <c r="V549">
        <v>0</v>
      </c>
      <c r="W549">
        <v>0</v>
      </c>
      <c r="X549" s="140">
        <v>4500</v>
      </c>
      <c r="Y549" s="209">
        <f t="shared" si="8"/>
        <v>4500</v>
      </c>
      <c r="Z549">
        <v>0</v>
      </c>
      <c r="AE549"/>
      <c r="AF549"/>
      <c r="AG549" t="s">
        <v>223</v>
      </c>
      <c r="AN549" t="s">
        <v>218</v>
      </c>
      <c r="AO549" t="s">
        <v>262</v>
      </c>
      <c r="AP549" t="s">
        <v>225</v>
      </c>
      <c r="AQ549">
        <v>0.13</v>
      </c>
      <c r="AR549" t="s">
        <v>238</v>
      </c>
    </row>
    <row r="550" hidden="1" spans="1:44">
      <c r="A550" t="s">
        <v>58</v>
      </c>
      <c r="B550" t="s">
        <v>28</v>
      </c>
      <c r="C550" s="209" t="s">
        <v>29</v>
      </c>
      <c r="D550" s="210">
        <v>71000121070143</v>
      </c>
      <c r="E550" s="211">
        <v>44379</v>
      </c>
      <c r="F550" t="s">
        <v>218</v>
      </c>
      <c r="G550" t="s">
        <v>260</v>
      </c>
      <c r="H550">
        <v>1</v>
      </c>
      <c r="I550" t="s">
        <v>75</v>
      </c>
      <c r="J550" t="s">
        <v>220</v>
      </c>
      <c r="K550" t="s">
        <v>221</v>
      </c>
      <c r="L550">
        <v>8000</v>
      </c>
      <c r="M550" s="211">
        <v>44396</v>
      </c>
      <c r="N550" s="211">
        <v>44423</v>
      </c>
      <c r="O550" s="212" t="s">
        <v>227</v>
      </c>
      <c r="P550" t="s">
        <v>261</v>
      </c>
      <c r="S550">
        <v>0</v>
      </c>
      <c r="T550">
        <v>0</v>
      </c>
      <c r="U550">
        <v>0</v>
      </c>
      <c r="V550">
        <v>0</v>
      </c>
      <c r="W550">
        <v>0</v>
      </c>
      <c r="X550" s="140">
        <v>8000</v>
      </c>
      <c r="Y550" s="209">
        <f t="shared" si="8"/>
        <v>8000</v>
      </c>
      <c r="Z550">
        <v>0</v>
      </c>
      <c r="AE550"/>
      <c r="AF550"/>
      <c r="AG550" t="s">
        <v>223</v>
      </c>
      <c r="AN550" t="s">
        <v>218</v>
      </c>
      <c r="AO550" t="s">
        <v>262</v>
      </c>
      <c r="AP550" t="s">
        <v>225</v>
      </c>
      <c r="AQ550">
        <v>0.13</v>
      </c>
      <c r="AR550" t="s">
        <v>238</v>
      </c>
    </row>
    <row r="551" hidden="1" spans="1:44">
      <c r="A551" t="s">
        <v>58</v>
      </c>
      <c r="B551" t="s">
        <v>28</v>
      </c>
      <c r="C551" s="209" t="s">
        <v>29</v>
      </c>
      <c r="D551" s="210">
        <v>71000121070382</v>
      </c>
      <c r="E551" s="211">
        <v>44382</v>
      </c>
      <c r="F551" t="s">
        <v>218</v>
      </c>
      <c r="G551" t="s">
        <v>260</v>
      </c>
      <c r="H551">
        <v>1</v>
      </c>
      <c r="I551" t="s">
        <v>73</v>
      </c>
      <c r="J551" t="s">
        <v>220</v>
      </c>
      <c r="K551" t="s">
        <v>221</v>
      </c>
      <c r="L551">
        <v>3000</v>
      </c>
      <c r="M551" s="211">
        <v>44389</v>
      </c>
      <c r="N551" s="211">
        <v>44394</v>
      </c>
      <c r="O551" s="212" t="s">
        <v>60</v>
      </c>
      <c r="P551" t="s">
        <v>261</v>
      </c>
      <c r="S551">
        <v>865</v>
      </c>
      <c r="T551">
        <v>0</v>
      </c>
      <c r="U551">
        <v>0</v>
      </c>
      <c r="V551">
        <v>0</v>
      </c>
      <c r="W551">
        <v>0</v>
      </c>
      <c r="X551" s="140">
        <v>3000</v>
      </c>
      <c r="Y551" s="209">
        <f t="shared" si="8"/>
        <v>2135</v>
      </c>
      <c r="Z551">
        <v>0</v>
      </c>
      <c r="AE551">
        <v>44393</v>
      </c>
      <c r="AF551"/>
      <c r="AG551" t="s">
        <v>223</v>
      </c>
      <c r="AN551" t="s">
        <v>218</v>
      </c>
      <c r="AO551" t="s">
        <v>262</v>
      </c>
      <c r="AP551" t="s">
        <v>225</v>
      </c>
      <c r="AQ551">
        <v>0.13</v>
      </c>
      <c r="AR551" t="s">
        <v>238</v>
      </c>
    </row>
    <row r="552" hidden="1" spans="1:44">
      <c r="A552" t="s">
        <v>58</v>
      </c>
      <c r="B552" t="s">
        <v>28</v>
      </c>
      <c r="C552" s="209" t="s">
        <v>29</v>
      </c>
      <c r="D552" s="210">
        <v>71000121070382</v>
      </c>
      <c r="E552" s="211">
        <v>44382</v>
      </c>
      <c r="F552" t="s">
        <v>245</v>
      </c>
      <c r="G552" t="s">
        <v>260</v>
      </c>
      <c r="H552">
        <v>2</v>
      </c>
      <c r="I552" t="s">
        <v>73</v>
      </c>
      <c r="J552" t="s">
        <v>220</v>
      </c>
      <c r="K552" t="s">
        <v>221</v>
      </c>
      <c r="L552">
        <v>3000</v>
      </c>
      <c r="M552" s="211">
        <v>44392</v>
      </c>
      <c r="O552" s="212" t="s">
        <v>60</v>
      </c>
      <c r="P552" t="s">
        <v>261</v>
      </c>
      <c r="S552">
        <v>3000</v>
      </c>
      <c r="T552">
        <v>0</v>
      </c>
      <c r="U552">
        <v>0</v>
      </c>
      <c r="V552">
        <v>0</v>
      </c>
      <c r="W552">
        <v>0</v>
      </c>
      <c r="X552" s="140">
        <v>3000</v>
      </c>
      <c r="Y552" s="209">
        <f t="shared" si="8"/>
        <v>0</v>
      </c>
      <c r="Z552">
        <v>0</v>
      </c>
      <c r="AE552" s="211">
        <v>44393</v>
      </c>
      <c r="AG552" t="s">
        <v>223</v>
      </c>
      <c r="AN552" t="s">
        <v>218</v>
      </c>
      <c r="AO552" t="s">
        <v>262</v>
      </c>
      <c r="AP552" t="s">
        <v>225</v>
      </c>
      <c r="AQ552">
        <v>0.13</v>
      </c>
      <c r="AR552" t="s">
        <v>238</v>
      </c>
    </row>
    <row r="553" hidden="1" spans="1:44">
      <c r="A553" t="s">
        <v>58</v>
      </c>
      <c r="B553" t="s">
        <v>28</v>
      </c>
      <c r="C553" s="209" t="s">
        <v>29</v>
      </c>
      <c r="D553" s="210">
        <v>71000121070382</v>
      </c>
      <c r="E553" s="211">
        <v>44382</v>
      </c>
      <c r="F553" t="s">
        <v>218</v>
      </c>
      <c r="G553" t="s">
        <v>260</v>
      </c>
      <c r="H553">
        <v>3</v>
      </c>
      <c r="I553" t="s">
        <v>73</v>
      </c>
      <c r="J553" t="s">
        <v>220</v>
      </c>
      <c r="K553" t="s">
        <v>221</v>
      </c>
      <c r="L553">
        <v>3000</v>
      </c>
      <c r="M553" s="211">
        <v>44396</v>
      </c>
      <c r="O553" s="212" t="s">
        <v>60</v>
      </c>
      <c r="P553" t="s">
        <v>261</v>
      </c>
      <c r="S553">
        <v>0</v>
      </c>
      <c r="T553">
        <v>0</v>
      </c>
      <c r="U553">
        <v>0</v>
      </c>
      <c r="V553">
        <v>0</v>
      </c>
      <c r="W553">
        <v>0</v>
      </c>
      <c r="X553" s="140">
        <v>3000</v>
      </c>
      <c r="Y553" s="209">
        <f t="shared" si="8"/>
        <v>3000</v>
      </c>
      <c r="Z553">
        <v>0</v>
      </c>
      <c r="AE553"/>
      <c r="AF553"/>
      <c r="AG553" t="s">
        <v>223</v>
      </c>
      <c r="AN553" t="s">
        <v>218</v>
      </c>
      <c r="AO553" t="s">
        <v>262</v>
      </c>
      <c r="AP553" t="s">
        <v>225</v>
      </c>
      <c r="AQ553">
        <v>0.13</v>
      </c>
      <c r="AR553" t="s">
        <v>238</v>
      </c>
    </row>
    <row r="554" hidden="1" spans="1:44">
      <c r="A554" t="s">
        <v>58</v>
      </c>
      <c r="B554" t="s">
        <v>28</v>
      </c>
      <c r="C554" s="209" t="s">
        <v>29</v>
      </c>
      <c r="D554" s="210">
        <v>71000121070382</v>
      </c>
      <c r="E554" s="211">
        <v>44382</v>
      </c>
      <c r="F554" t="s">
        <v>218</v>
      </c>
      <c r="G554" t="s">
        <v>260</v>
      </c>
      <c r="H554">
        <v>4</v>
      </c>
      <c r="I554" t="s">
        <v>74</v>
      </c>
      <c r="J554" t="s">
        <v>220</v>
      </c>
      <c r="K554" t="s">
        <v>221</v>
      </c>
      <c r="L554">
        <v>3000</v>
      </c>
      <c r="M554" s="211">
        <v>44389</v>
      </c>
      <c r="N554" s="211">
        <v>44394</v>
      </c>
      <c r="O554" s="212" t="s">
        <v>60</v>
      </c>
      <c r="P554" t="s">
        <v>261</v>
      </c>
      <c r="S554">
        <v>0</v>
      </c>
      <c r="T554">
        <v>0</v>
      </c>
      <c r="U554">
        <v>0</v>
      </c>
      <c r="V554">
        <v>0</v>
      </c>
      <c r="W554">
        <v>0</v>
      </c>
      <c r="X554" s="140">
        <v>3000</v>
      </c>
      <c r="Y554" s="209">
        <f t="shared" si="8"/>
        <v>3000</v>
      </c>
      <c r="Z554">
        <v>0</v>
      </c>
      <c r="AE554"/>
      <c r="AF554"/>
      <c r="AG554" t="s">
        <v>223</v>
      </c>
      <c r="AN554" t="s">
        <v>218</v>
      </c>
      <c r="AO554" t="s">
        <v>262</v>
      </c>
      <c r="AP554" t="s">
        <v>225</v>
      </c>
      <c r="AQ554">
        <v>0.13</v>
      </c>
      <c r="AR554" t="s">
        <v>238</v>
      </c>
    </row>
    <row r="555" hidden="1" spans="1:44">
      <c r="A555" t="s">
        <v>58</v>
      </c>
      <c r="B555" t="s">
        <v>28</v>
      </c>
      <c r="C555" s="209" t="s">
        <v>29</v>
      </c>
      <c r="D555" s="210">
        <v>71000121070382</v>
      </c>
      <c r="E555" s="211">
        <v>44382</v>
      </c>
      <c r="F555" t="s">
        <v>218</v>
      </c>
      <c r="G555" t="s">
        <v>260</v>
      </c>
      <c r="H555">
        <v>5</v>
      </c>
      <c r="I555" t="s">
        <v>74</v>
      </c>
      <c r="J555" t="s">
        <v>220</v>
      </c>
      <c r="K555" t="s">
        <v>221</v>
      </c>
      <c r="L555">
        <v>3000</v>
      </c>
      <c r="M555" s="211">
        <v>44391</v>
      </c>
      <c r="N555" s="211">
        <v>44394</v>
      </c>
      <c r="O555" s="212" t="s">
        <v>60</v>
      </c>
      <c r="P555" t="s">
        <v>261</v>
      </c>
      <c r="S555">
        <v>0</v>
      </c>
      <c r="T555">
        <v>0</v>
      </c>
      <c r="U555">
        <v>0</v>
      </c>
      <c r="V555">
        <v>0</v>
      </c>
      <c r="W555">
        <v>0</v>
      </c>
      <c r="X555" s="140">
        <v>3000</v>
      </c>
      <c r="Y555" s="209">
        <f t="shared" si="8"/>
        <v>3000</v>
      </c>
      <c r="Z555">
        <v>0</v>
      </c>
      <c r="AE555"/>
      <c r="AF555"/>
      <c r="AG555" t="s">
        <v>223</v>
      </c>
      <c r="AN555" t="s">
        <v>218</v>
      </c>
      <c r="AO555" t="s">
        <v>262</v>
      </c>
      <c r="AP555" t="s">
        <v>225</v>
      </c>
      <c r="AQ555">
        <v>0.13</v>
      </c>
      <c r="AR555" t="s">
        <v>238</v>
      </c>
    </row>
    <row r="556" hidden="1" spans="1:44">
      <c r="A556" t="s">
        <v>58</v>
      </c>
      <c r="B556" t="s">
        <v>28</v>
      </c>
      <c r="C556" s="209" t="s">
        <v>29</v>
      </c>
      <c r="D556" s="210">
        <v>71000121070382</v>
      </c>
      <c r="E556" s="211">
        <v>44382</v>
      </c>
      <c r="F556" t="s">
        <v>218</v>
      </c>
      <c r="G556" t="s">
        <v>260</v>
      </c>
      <c r="H556">
        <v>6</v>
      </c>
      <c r="I556" t="s">
        <v>74</v>
      </c>
      <c r="J556" t="s">
        <v>220</v>
      </c>
      <c r="K556" t="s">
        <v>221</v>
      </c>
      <c r="L556">
        <v>3000</v>
      </c>
      <c r="M556" s="211">
        <v>44393</v>
      </c>
      <c r="O556" s="212" t="s">
        <v>60</v>
      </c>
      <c r="P556" t="s">
        <v>261</v>
      </c>
      <c r="S556">
        <v>0</v>
      </c>
      <c r="T556">
        <v>0</v>
      </c>
      <c r="U556">
        <v>0</v>
      </c>
      <c r="V556">
        <v>0</v>
      </c>
      <c r="W556">
        <v>0</v>
      </c>
      <c r="X556" s="140">
        <v>3000</v>
      </c>
      <c r="Y556" s="209">
        <f t="shared" si="8"/>
        <v>3000</v>
      </c>
      <c r="Z556">
        <v>0</v>
      </c>
      <c r="AE556"/>
      <c r="AF556"/>
      <c r="AG556" t="s">
        <v>223</v>
      </c>
      <c r="AN556" t="s">
        <v>218</v>
      </c>
      <c r="AO556" t="s">
        <v>262</v>
      </c>
      <c r="AP556" t="s">
        <v>225</v>
      </c>
      <c r="AQ556">
        <v>0.13</v>
      </c>
      <c r="AR556" t="s">
        <v>238</v>
      </c>
    </row>
    <row r="557" hidden="1" spans="1:44">
      <c r="A557" t="s">
        <v>58</v>
      </c>
      <c r="B557" t="s">
        <v>28</v>
      </c>
      <c r="C557" s="209" t="s">
        <v>29</v>
      </c>
      <c r="D557" s="210">
        <v>71000121070382</v>
      </c>
      <c r="E557" s="211">
        <v>44382</v>
      </c>
      <c r="F557" t="s">
        <v>218</v>
      </c>
      <c r="G557" t="s">
        <v>260</v>
      </c>
      <c r="H557">
        <v>7</v>
      </c>
      <c r="I557" t="s">
        <v>74</v>
      </c>
      <c r="J557" t="s">
        <v>220</v>
      </c>
      <c r="K557" t="s">
        <v>221</v>
      </c>
      <c r="L557">
        <v>3000</v>
      </c>
      <c r="M557" s="211">
        <v>44396</v>
      </c>
      <c r="O557" s="212" t="s">
        <v>60</v>
      </c>
      <c r="P557" t="s">
        <v>261</v>
      </c>
      <c r="S557">
        <v>0</v>
      </c>
      <c r="T557">
        <v>0</v>
      </c>
      <c r="U557">
        <v>0</v>
      </c>
      <c r="V557">
        <v>0</v>
      </c>
      <c r="W557">
        <v>0</v>
      </c>
      <c r="X557" s="140">
        <v>3000</v>
      </c>
      <c r="Y557" s="209">
        <f t="shared" si="8"/>
        <v>3000</v>
      </c>
      <c r="Z557">
        <v>0</v>
      </c>
      <c r="AE557"/>
      <c r="AF557"/>
      <c r="AG557" t="s">
        <v>223</v>
      </c>
      <c r="AN557" t="s">
        <v>218</v>
      </c>
      <c r="AO557" t="s">
        <v>262</v>
      </c>
      <c r="AP557" t="s">
        <v>225</v>
      </c>
      <c r="AQ557">
        <v>0.13</v>
      </c>
      <c r="AR557" t="s">
        <v>238</v>
      </c>
    </row>
    <row r="558" hidden="1" spans="1:44">
      <c r="A558" t="s">
        <v>58</v>
      </c>
      <c r="B558" t="s">
        <v>28</v>
      </c>
      <c r="C558" s="209" t="s">
        <v>29</v>
      </c>
      <c r="D558" s="210">
        <v>71000121070382</v>
      </c>
      <c r="E558" s="211">
        <v>44382</v>
      </c>
      <c r="F558" t="s">
        <v>218</v>
      </c>
      <c r="G558" t="s">
        <v>260</v>
      </c>
      <c r="H558">
        <v>8</v>
      </c>
      <c r="I558" t="s">
        <v>74</v>
      </c>
      <c r="J558" t="s">
        <v>220</v>
      </c>
      <c r="K558" t="s">
        <v>221</v>
      </c>
      <c r="L558">
        <v>3000</v>
      </c>
      <c r="M558" s="211">
        <v>44398</v>
      </c>
      <c r="O558" s="212" t="s">
        <v>60</v>
      </c>
      <c r="P558" t="s">
        <v>261</v>
      </c>
      <c r="S558">
        <v>0</v>
      </c>
      <c r="T558">
        <v>0</v>
      </c>
      <c r="U558">
        <v>0</v>
      </c>
      <c r="V558">
        <v>0</v>
      </c>
      <c r="W558">
        <v>0</v>
      </c>
      <c r="X558" s="140">
        <v>3000</v>
      </c>
      <c r="Y558" s="209">
        <f t="shared" si="8"/>
        <v>3000</v>
      </c>
      <c r="Z558">
        <v>0</v>
      </c>
      <c r="AE558"/>
      <c r="AF558"/>
      <c r="AG558" t="s">
        <v>223</v>
      </c>
      <c r="AN558" t="s">
        <v>218</v>
      </c>
      <c r="AO558" t="s">
        <v>262</v>
      </c>
      <c r="AP558" t="s">
        <v>225</v>
      </c>
      <c r="AQ558">
        <v>0.13</v>
      </c>
      <c r="AR558" t="s">
        <v>238</v>
      </c>
    </row>
    <row r="559" hidden="1" spans="1:44">
      <c r="A559" t="s">
        <v>58</v>
      </c>
      <c r="B559" t="s">
        <v>28</v>
      </c>
      <c r="C559" s="209" t="s">
        <v>29</v>
      </c>
      <c r="D559" s="210">
        <v>71000121070382</v>
      </c>
      <c r="E559" s="211">
        <v>44382</v>
      </c>
      <c r="F559" t="s">
        <v>218</v>
      </c>
      <c r="G559" t="s">
        <v>260</v>
      </c>
      <c r="H559">
        <v>9</v>
      </c>
      <c r="I559" t="s">
        <v>74</v>
      </c>
      <c r="J559" t="s">
        <v>220</v>
      </c>
      <c r="K559" t="s">
        <v>221</v>
      </c>
      <c r="L559">
        <v>3000</v>
      </c>
      <c r="M559" s="211">
        <v>44400</v>
      </c>
      <c r="O559" s="212" t="s">
        <v>60</v>
      </c>
      <c r="P559" t="s">
        <v>261</v>
      </c>
      <c r="S559">
        <v>0</v>
      </c>
      <c r="T559">
        <v>0</v>
      </c>
      <c r="U559">
        <v>0</v>
      </c>
      <c r="V559">
        <v>0</v>
      </c>
      <c r="W559">
        <v>0</v>
      </c>
      <c r="X559" s="140">
        <v>3000</v>
      </c>
      <c r="Y559" s="209">
        <f t="shared" si="8"/>
        <v>3000</v>
      </c>
      <c r="Z559">
        <v>0</v>
      </c>
      <c r="AE559"/>
      <c r="AF559"/>
      <c r="AG559" t="s">
        <v>223</v>
      </c>
      <c r="AN559" t="s">
        <v>218</v>
      </c>
      <c r="AO559" t="s">
        <v>262</v>
      </c>
      <c r="AP559" t="s">
        <v>225</v>
      </c>
      <c r="AQ559">
        <v>0.13</v>
      </c>
      <c r="AR559" t="s">
        <v>238</v>
      </c>
    </row>
    <row r="560" hidden="1" spans="1:44">
      <c r="A560" t="s">
        <v>58</v>
      </c>
      <c r="B560" t="s">
        <v>28</v>
      </c>
      <c r="C560" s="209" t="s">
        <v>29</v>
      </c>
      <c r="D560" s="210">
        <v>71000121070382</v>
      </c>
      <c r="E560" s="211">
        <v>44382</v>
      </c>
      <c r="F560" t="s">
        <v>218</v>
      </c>
      <c r="G560" t="s">
        <v>260</v>
      </c>
      <c r="H560">
        <v>10</v>
      </c>
      <c r="I560" t="s">
        <v>74</v>
      </c>
      <c r="J560" t="s">
        <v>220</v>
      </c>
      <c r="K560" t="s">
        <v>221</v>
      </c>
      <c r="L560">
        <v>3000</v>
      </c>
      <c r="M560" s="211">
        <v>44402</v>
      </c>
      <c r="O560" s="212" t="s">
        <v>60</v>
      </c>
      <c r="P560" t="s">
        <v>261</v>
      </c>
      <c r="S560">
        <v>0</v>
      </c>
      <c r="T560">
        <v>0</v>
      </c>
      <c r="U560">
        <v>0</v>
      </c>
      <c r="V560">
        <v>0</v>
      </c>
      <c r="W560">
        <v>0</v>
      </c>
      <c r="X560" s="140">
        <v>3000</v>
      </c>
      <c r="Y560" s="209">
        <f t="shared" si="8"/>
        <v>3000</v>
      </c>
      <c r="Z560">
        <v>0</v>
      </c>
      <c r="AE560"/>
      <c r="AF560"/>
      <c r="AG560" t="s">
        <v>223</v>
      </c>
      <c r="AN560" t="s">
        <v>218</v>
      </c>
      <c r="AO560" t="s">
        <v>262</v>
      </c>
      <c r="AP560" t="s">
        <v>225</v>
      </c>
      <c r="AQ560">
        <v>0.13</v>
      </c>
      <c r="AR560" t="s">
        <v>238</v>
      </c>
    </row>
    <row r="561" hidden="1" spans="1:44">
      <c r="A561" t="s">
        <v>58</v>
      </c>
      <c r="B561" t="s">
        <v>28</v>
      </c>
      <c r="C561" s="209" t="s">
        <v>29</v>
      </c>
      <c r="D561" s="210">
        <v>71000121070927</v>
      </c>
      <c r="E561" s="211">
        <v>44387</v>
      </c>
      <c r="F561" t="s">
        <v>218</v>
      </c>
      <c r="G561" t="s">
        <v>260</v>
      </c>
      <c r="H561">
        <v>1</v>
      </c>
      <c r="I561" t="s">
        <v>74</v>
      </c>
      <c r="J561" t="s">
        <v>220</v>
      </c>
      <c r="K561" t="s">
        <v>221</v>
      </c>
      <c r="L561">
        <v>3000</v>
      </c>
      <c r="M561" s="211">
        <v>44397</v>
      </c>
      <c r="O561" s="212" t="s">
        <v>60</v>
      </c>
      <c r="P561" t="s">
        <v>261</v>
      </c>
      <c r="S561">
        <v>0</v>
      </c>
      <c r="T561">
        <v>0</v>
      </c>
      <c r="U561">
        <v>0</v>
      </c>
      <c r="V561">
        <v>0</v>
      </c>
      <c r="W561">
        <v>0</v>
      </c>
      <c r="X561" s="140">
        <v>3000</v>
      </c>
      <c r="Y561" s="209">
        <f t="shared" si="8"/>
        <v>3000</v>
      </c>
      <c r="Z561">
        <v>0</v>
      </c>
      <c r="AE561"/>
      <c r="AF561"/>
      <c r="AG561" t="s">
        <v>223</v>
      </c>
      <c r="AN561" t="s">
        <v>218</v>
      </c>
      <c r="AO561" t="s">
        <v>262</v>
      </c>
      <c r="AP561" t="s">
        <v>225</v>
      </c>
      <c r="AQ561">
        <v>0.13</v>
      </c>
      <c r="AR561" t="s">
        <v>238</v>
      </c>
    </row>
    <row r="562" hidden="1" spans="1:44">
      <c r="A562" t="s">
        <v>58</v>
      </c>
      <c r="B562" t="s">
        <v>28</v>
      </c>
      <c r="C562" s="209" t="s">
        <v>29</v>
      </c>
      <c r="D562" s="210">
        <v>71000121070927</v>
      </c>
      <c r="E562" s="211">
        <v>44387</v>
      </c>
      <c r="F562" t="s">
        <v>218</v>
      </c>
      <c r="G562" t="s">
        <v>260</v>
      </c>
      <c r="H562">
        <v>2</v>
      </c>
      <c r="I562" t="s">
        <v>74</v>
      </c>
      <c r="J562" t="s">
        <v>220</v>
      </c>
      <c r="K562" t="s">
        <v>221</v>
      </c>
      <c r="L562">
        <v>3000</v>
      </c>
      <c r="M562" s="211">
        <v>44399</v>
      </c>
      <c r="O562" s="212" t="s">
        <v>60</v>
      </c>
      <c r="P562" t="s">
        <v>261</v>
      </c>
      <c r="S562">
        <v>0</v>
      </c>
      <c r="T562">
        <v>0</v>
      </c>
      <c r="U562">
        <v>0</v>
      </c>
      <c r="V562">
        <v>0</v>
      </c>
      <c r="W562">
        <v>0</v>
      </c>
      <c r="X562" s="140">
        <v>3000</v>
      </c>
      <c r="Y562" s="209">
        <f t="shared" si="8"/>
        <v>3000</v>
      </c>
      <c r="Z562">
        <v>0</v>
      </c>
      <c r="AE562"/>
      <c r="AF562"/>
      <c r="AG562" t="s">
        <v>223</v>
      </c>
      <c r="AN562" t="s">
        <v>218</v>
      </c>
      <c r="AO562" t="s">
        <v>262</v>
      </c>
      <c r="AP562" t="s">
        <v>225</v>
      </c>
      <c r="AQ562">
        <v>0.13</v>
      </c>
      <c r="AR562" t="s">
        <v>238</v>
      </c>
    </row>
    <row r="563" hidden="1" spans="1:44">
      <c r="A563" t="s">
        <v>58</v>
      </c>
      <c r="B563" t="s">
        <v>28</v>
      </c>
      <c r="C563" s="209" t="s">
        <v>29</v>
      </c>
      <c r="D563" s="210">
        <v>71000121070927</v>
      </c>
      <c r="E563" s="211">
        <v>44387</v>
      </c>
      <c r="F563" t="s">
        <v>218</v>
      </c>
      <c r="G563" t="s">
        <v>260</v>
      </c>
      <c r="H563">
        <v>3</v>
      </c>
      <c r="I563" t="s">
        <v>74</v>
      </c>
      <c r="J563" t="s">
        <v>220</v>
      </c>
      <c r="K563" t="s">
        <v>221</v>
      </c>
      <c r="L563">
        <v>3000</v>
      </c>
      <c r="M563" s="211">
        <v>44405</v>
      </c>
      <c r="O563" s="212" t="s">
        <v>60</v>
      </c>
      <c r="P563" t="s">
        <v>261</v>
      </c>
      <c r="S563">
        <v>0</v>
      </c>
      <c r="T563">
        <v>0</v>
      </c>
      <c r="U563">
        <v>0</v>
      </c>
      <c r="V563">
        <v>0</v>
      </c>
      <c r="W563">
        <v>0</v>
      </c>
      <c r="X563" s="140">
        <v>3000</v>
      </c>
      <c r="Y563" s="209">
        <f t="shared" si="8"/>
        <v>3000</v>
      </c>
      <c r="Z563">
        <v>0</v>
      </c>
      <c r="AE563"/>
      <c r="AF563"/>
      <c r="AG563" t="s">
        <v>223</v>
      </c>
      <c r="AN563" t="s">
        <v>218</v>
      </c>
      <c r="AO563" t="s">
        <v>262</v>
      </c>
      <c r="AP563" t="s">
        <v>225</v>
      </c>
      <c r="AQ563">
        <v>0.13</v>
      </c>
      <c r="AR563" t="s">
        <v>238</v>
      </c>
    </row>
    <row r="564" hidden="1" spans="1:44">
      <c r="A564" t="s">
        <v>58</v>
      </c>
      <c r="B564" t="s">
        <v>28</v>
      </c>
      <c r="C564" s="209" t="s">
        <v>29</v>
      </c>
      <c r="D564" s="210">
        <v>71000121070927</v>
      </c>
      <c r="E564" s="211">
        <v>44387</v>
      </c>
      <c r="F564" t="s">
        <v>218</v>
      </c>
      <c r="G564" t="s">
        <v>260</v>
      </c>
      <c r="H564">
        <v>4</v>
      </c>
      <c r="I564" t="s">
        <v>74</v>
      </c>
      <c r="J564" t="s">
        <v>220</v>
      </c>
      <c r="K564" t="s">
        <v>221</v>
      </c>
      <c r="L564">
        <v>3000</v>
      </c>
      <c r="M564" s="211">
        <v>44407</v>
      </c>
      <c r="O564" s="212" t="s">
        <v>60</v>
      </c>
      <c r="P564" t="s">
        <v>261</v>
      </c>
      <c r="S564">
        <v>0</v>
      </c>
      <c r="T564">
        <v>0</v>
      </c>
      <c r="U564">
        <v>0</v>
      </c>
      <c r="V564">
        <v>0</v>
      </c>
      <c r="W564">
        <v>0</v>
      </c>
      <c r="X564" s="140">
        <v>3000</v>
      </c>
      <c r="Y564" s="209">
        <f t="shared" si="8"/>
        <v>3000</v>
      </c>
      <c r="Z564">
        <v>0</v>
      </c>
      <c r="AE564"/>
      <c r="AF564"/>
      <c r="AG564" t="s">
        <v>223</v>
      </c>
      <c r="AN564" t="s">
        <v>218</v>
      </c>
      <c r="AO564" t="s">
        <v>262</v>
      </c>
      <c r="AP564" t="s">
        <v>225</v>
      </c>
      <c r="AQ564">
        <v>0.13</v>
      </c>
      <c r="AR564" t="s">
        <v>238</v>
      </c>
    </row>
    <row r="565" hidden="1" spans="1:44">
      <c r="A565" t="s">
        <v>58</v>
      </c>
      <c r="B565" t="s">
        <v>28</v>
      </c>
      <c r="C565" s="209" t="s">
        <v>29</v>
      </c>
      <c r="D565" s="210">
        <v>71000121070927</v>
      </c>
      <c r="E565" s="211">
        <v>44387</v>
      </c>
      <c r="F565" t="s">
        <v>218</v>
      </c>
      <c r="G565" t="s">
        <v>260</v>
      </c>
      <c r="H565">
        <v>5</v>
      </c>
      <c r="I565" t="s">
        <v>74</v>
      </c>
      <c r="J565" t="s">
        <v>220</v>
      </c>
      <c r="K565" t="s">
        <v>221</v>
      </c>
      <c r="L565">
        <v>3000</v>
      </c>
      <c r="M565" s="211">
        <v>44403</v>
      </c>
      <c r="O565" s="212" t="s">
        <v>60</v>
      </c>
      <c r="P565" t="s">
        <v>261</v>
      </c>
      <c r="S565">
        <v>0</v>
      </c>
      <c r="T565">
        <v>0</v>
      </c>
      <c r="U565">
        <v>0</v>
      </c>
      <c r="V565">
        <v>0</v>
      </c>
      <c r="W565">
        <v>0</v>
      </c>
      <c r="X565" s="140">
        <v>3000</v>
      </c>
      <c r="Y565" s="209">
        <f t="shared" si="8"/>
        <v>3000</v>
      </c>
      <c r="Z565">
        <v>0</v>
      </c>
      <c r="AE565"/>
      <c r="AF565"/>
      <c r="AG565" t="s">
        <v>223</v>
      </c>
      <c r="AN565" t="s">
        <v>218</v>
      </c>
      <c r="AO565" t="s">
        <v>262</v>
      </c>
      <c r="AP565" t="s">
        <v>225</v>
      </c>
      <c r="AQ565">
        <v>0.13</v>
      </c>
      <c r="AR565" t="s">
        <v>238</v>
      </c>
    </row>
    <row r="566" hidden="1" spans="1:44">
      <c r="A566" t="s">
        <v>58</v>
      </c>
      <c r="B566" t="s">
        <v>28</v>
      </c>
      <c r="C566" s="209" t="s">
        <v>29</v>
      </c>
      <c r="D566" s="210">
        <v>71000121070927</v>
      </c>
      <c r="E566" s="211">
        <v>44387</v>
      </c>
      <c r="F566" t="s">
        <v>218</v>
      </c>
      <c r="G566" t="s">
        <v>260</v>
      </c>
      <c r="H566">
        <v>6</v>
      </c>
      <c r="I566" t="s">
        <v>74</v>
      </c>
      <c r="J566" t="s">
        <v>220</v>
      </c>
      <c r="K566" t="s">
        <v>221</v>
      </c>
      <c r="L566">
        <v>3000</v>
      </c>
      <c r="M566" s="211">
        <v>44410</v>
      </c>
      <c r="O566" s="212" t="s">
        <v>227</v>
      </c>
      <c r="P566" t="s">
        <v>261</v>
      </c>
      <c r="S566">
        <v>0</v>
      </c>
      <c r="T566">
        <v>0</v>
      </c>
      <c r="U566">
        <v>0</v>
      </c>
      <c r="V566">
        <v>0</v>
      </c>
      <c r="W566">
        <v>0</v>
      </c>
      <c r="X566" s="140">
        <v>3000</v>
      </c>
      <c r="Y566" s="209">
        <f t="shared" si="8"/>
        <v>3000</v>
      </c>
      <c r="Z566">
        <v>0</v>
      </c>
      <c r="AE566"/>
      <c r="AF566"/>
      <c r="AG566" t="s">
        <v>223</v>
      </c>
      <c r="AN566" t="s">
        <v>218</v>
      </c>
      <c r="AO566" t="s">
        <v>262</v>
      </c>
      <c r="AP566" t="s">
        <v>225</v>
      </c>
      <c r="AQ566">
        <v>0.13</v>
      </c>
      <c r="AR566" t="s">
        <v>238</v>
      </c>
    </row>
    <row r="567" hidden="1" spans="1:44">
      <c r="A567" t="s">
        <v>58</v>
      </c>
      <c r="B567" t="s">
        <v>28</v>
      </c>
      <c r="C567" s="209" t="s">
        <v>29</v>
      </c>
      <c r="D567" s="210">
        <v>71000121070927</v>
      </c>
      <c r="E567" s="211">
        <v>44387</v>
      </c>
      <c r="F567" t="s">
        <v>218</v>
      </c>
      <c r="G567" t="s">
        <v>260</v>
      </c>
      <c r="H567">
        <v>7</v>
      </c>
      <c r="I567" t="s">
        <v>74</v>
      </c>
      <c r="J567" t="s">
        <v>220</v>
      </c>
      <c r="K567" t="s">
        <v>221</v>
      </c>
      <c r="L567">
        <v>3000</v>
      </c>
      <c r="M567" s="211">
        <v>44414</v>
      </c>
      <c r="O567" s="212" t="s">
        <v>227</v>
      </c>
      <c r="P567" t="s">
        <v>261</v>
      </c>
      <c r="S567">
        <v>0</v>
      </c>
      <c r="T567">
        <v>0</v>
      </c>
      <c r="U567">
        <v>0</v>
      </c>
      <c r="V567">
        <v>0</v>
      </c>
      <c r="W567">
        <v>0</v>
      </c>
      <c r="X567" s="140">
        <v>3000</v>
      </c>
      <c r="Y567" s="209">
        <f t="shared" si="8"/>
        <v>3000</v>
      </c>
      <c r="Z567">
        <v>0</v>
      </c>
      <c r="AE567"/>
      <c r="AF567"/>
      <c r="AG567" t="s">
        <v>223</v>
      </c>
      <c r="AN567" t="s">
        <v>218</v>
      </c>
      <c r="AO567" t="s">
        <v>262</v>
      </c>
      <c r="AP567" t="s">
        <v>225</v>
      </c>
      <c r="AQ567">
        <v>0.13</v>
      </c>
      <c r="AR567" t="s">
        <v>238</v>
      </c>
    </row>
    <row r="568" hidden="1" spans="1:44">
      <c r="A568" t="s">
        <v>58</v>
      </c>
      <c r="B568" t="s">
        <v>28</v>
      </c>
      <c r="C568" s="209" t="s">
        <v>29</v>
      </c>
      <c r="D568" s="210">
        <v>71000121070927</v>
      </c>
      <c r="E568" s="211">
        <v>44387</v>
      </c>
      <c r="F568" t="s">
        <v>218</v>
      </c>
      <c r="G568" t="s">
        <v>260</v>
      </c>
      <c r="H568">
        <v>8</v>
      </c>
      <c r="I568" t="s">
        <v>74</v>
      </c>
      <c r="J568" t="s">
        <v>220</v>
      </c>
      <c r="K568" t="s">
        <v>221</v>
      </c>
      <c r="L568">
        <v>3000</v>
      </c>
      <c r="M568" s="211">
        <v>44417</v>
      </c>
      <c r="O568" s="212" t="s">
        <v>227</v>
      </c>
      <c r="P568" t="s">
        <v>261</v>
      </c>
      <c r="S568">
        <v>0</v>
      </c>
      <c r="T568">
        <v>0</v>
      </c>
      <c r="U568">
        <v>0</v>
      </c>
      <c r="V568">
        <v>0</v>
      </c>
      <c r="W568">
        <v>0</v>
      </c>
      <c r="X568" s="140">
        <v>3000</v>
      </c>
      <c r="Y568" s="209">
        <f t="shared" si="8"/>
        <v>3000</v>
      </c>
      <c r="Z568">
        <v>0</v>
      </c>
      <c r="AE568"/>
      <c r="AF568"/>
      <c r="AG568" t="s">
        <v>223</v>
      </c>
      <c r="AN568" t="s">
        <v>218</v>
      </c>
      <c r="AO568" t="s">
        <v>262</v>
      </c>
      <c r="AP568" t="s">
        <v>225</v>
      </c>
      <c r="AQ568">
        <v>0.13</v>
      </c>
      <c r="AR568" t="s">
        <v>238</v>
      </c>
    </row>
    <row r="569" hidden="1" spans="1:44">
      <c r="A569" t="s">
        <v>58</v>
      </c>
      <c r="B569" t="s">
        <v>28</v>
      </c>
      <c r="C569" s="209" t="s">
        <v>29</v>
      </c>
      <c r="D569" s="210">
        <v>71000121070927</v>
      </c>
      <c r="E569" s="211">
        <v>44387</v>
      </c>
      <c r="F569" t="s">
        <v>218</v>
      </c>
      <c r="G569" t="s">
        <v>260</v>
      </c>
      <c r="H569">
        <v>9</v>
      </c>
      <c r="I569" t="s">
        <v>75</v>
      </c>
      <c r="J569" t="s">
        <v>220</v>
      </c>
      <c r="K569" t="s">
        <v>221</v>
      </c>
      <c r="L569">
        <v>1200</v>
      </c>
      <c r="M569" s="211">
        <v>44414</v>
      </c>
      <c r="O569" s="212" t="s">
        <v>227</v>
      </c>
      <c r="P569" t="s">
        <v>261</v>
      </c>
      <c r="S569">
        <v>0</v>
      </c>
      <c r="T569">
        <v>0</v>
      </c>
      <c r="U569">
        <v>0</v>
      </c>
      <c r="V569">
        <v>0</v>
      </c>
      <c r="W569">
        <v>0</v>
      </c>
      <c r="X569" s="140">
        <v>1200</v>
      </c>
      <c r="Y569" s="209">
        <f t="shared" si="8"/>
        <v>1200</v>
      </c>
      <c r="Z569">
        <v>0</v>
      </c>
      <c r="AE569"/>
      <c r="AF569"/>
      <c r="AG569" t="s">
        <v>223</v>
      </c>
      <c r="AN569" t="s">
        <v>218</v>
      </c>
      <c r="AO569" t="s">
        <v>262</v>
      </c>
      <c r="AP569" t="s">
        <v>225</v>
      </c>
      <c r="AQ569">
        <v>0.13</v>
      </c>
      <c r="AR569" t="s">
        <v>238</v>
      </c>
    </row>
    <row r="570" hidden="1" spans="1:44">
      <c r="A570" t="s">
        <v>58</v>
      </c>
      <c r="B570" t="s">
        <v>30</v>
      </c>
      <c r="C570" s="209" t="s">
        <v>31</v>
      </c>
      <c r="D570" s="210">
        <v>71000121060019</v>
      </c>
      <c r="E570" s="211">
        <v>44348</v>
      </c>
      <c r="F570" t="s">
        <v>218</v>
      </c>
      <c r="G570" t="s">
        <v>260</v>
      </c>
      <c r="H570">
        <v>4</v>
      </c>
      <c r="I570" t="s">
        <v>71</v>
      </c>
      <c r="J570" t="s">
        <v>220</v>
      </c>
      <c r="K570" t="s">
        <v>221</v>
      </c>
      <c r="L570">
        <v>1000</v>
      </c>
      <c r="M570" s="211">
        <v>44427</v>
      </c>
      <c r="N570" s="211">
        <v>44387</v>
      </c>
      <c r="O570" s="212" t="s">
        <v>60</v>
      </c>
      <c r="P570" t="s">
        <v>261</v>
      </c>
      <c r="S570">
        <v>984</v>
      </c>
      <c r="T570">
        <v>984</v>
      </c>
      <c r="U570">
        <v>0</v>
      </c>
      <c r="V570">
        <v>984</v>
      </c>
      <c r="W570">
        <v>0</v>
      </c>
      <c r="X570" s="140">
        <v>16</v>
      </c>
      <c r="Y570" s="209">
        <f t="shared" si="8"/>
        <v>16</v>
      </c>
      <c r="Z570">
        <v>0</v>
      </c>
      <c r="AE570">
        <v>44383</v>
      </c>
      <c r="AF570">
        <v>44383</v>
      </c>
      <c r="AG570" t="s">
        <v>223</v>
      </c>
      <c r="AN570" t="s">
        <v>218</v>
      </c>
      <c r="AO570" t="s">
        <v>262</v>
      </c>
      <c r="AP570" t="s">
        <v>225</v>
      </c>
      <c r="AQ570">
        <v>0.13</v>
      </c>
      <c r="AR570" t="s">
        <v>238</v>
      </c>
    </row>
    <row r="571" hidden="1" spans="1:44">
      <c r="A571" t="s">
        <v>58</v>
      </c>
      <c r="B571" t="s">
        <v>30</v>
      </c>
      <c r="C571" s="209" t="s">
        <v>31</v>
      </c>
      <c r="D571" s="210">
        <v>71000121060156</v>
      </c>
      <c r="E571" s="211">
        <v>44350</v>
      </c>
      <c r="F571" t="s">
        <v>218</v>
      </c>
      <c r="G571" t="s">
        <v>260</v>
      </c>
      <c r="H571">
        <v>2</v>
      </c>
      <c r="I571" t="s">
        <v>70</v>
      </c>
      <c r="J571" t="s">
        <v>220</v>
      </c>
      <c r="K571" t="s">
        <v>221</v>
      </c>
      <c r="L571">
        <v>5000</v>
      </c>
      <c r="M571" s="211">
        <v>44387</v>
      </c>
      <c r="N571" s="211">
        <v>44394</v>
      </c>
      <c r="O571" s="212" t="s">
        <v>60</v>
      </c>
      <c r="P571" t="s">
        <v>261</v>
      </c>
      <c r="S571">
        <v>1794</v>
      </c>
      <c r="T571">
        <v>1794</v>
      </c>
      <c r="U571">
        <v>0</v>
      </c>
      <c r="V571">
        <v>1794</v>
      </c>
      <c r="W571">
        <v>362</v>
      </c>
      <c r="X571" s="140">
        <v>3206</v>
      </c>
      <c r="Y571" s="209">
        <f t="shared" si="8"/>
        <v>3206</v>
      </c>
      <c r="Z571">
        <v>0</v>
      </c>
      <c r="AE571">
        <v>44389</v>
      </c>
      <c r="AF571">
        <v>44389</v>
      </c>
      <c r="AG571" t="s">
        <v>223</v>
      </c>
      <c r="AN571" t="s">
        <v>218</v>
      </c>
      <c r="AO571" t="s">
        <v>262</v>
      </c>
      <c r="AP571" t="s">
        <v>225</v>
      </c>
      <c r="AQ571">
        <v>0.13</v>
      </c>
      <c r="AR571" t="s">
        <v>238</v>
      </c>
    </row>
    <row r="572" hidden="1" spans="1:44">
      <c r="A572" t="s">
        <v>58</v>
      </c>
      <c r="B572" t="s">
        <v>30</v>
      </c>
      <c r="C572" s="209" t="s">
        <v>31</v>
      </c>
      <c r="D572" s="210">
        <v>71000121061983</v>
      </c>
      <c r="E572" s="211">
        <v>44371</v>
      </c>
      <c r="F572" t="s">
        <v>218</v>
      </c>
      <c r="G572" t="s">
        <v>260</v>
      </c>
      <c r="H572">
        <v>1</v>
      </c>
      <c r="I572" t="s">
        <v>72</v>
      </c>
      <c r="J572" t="s">
        <v>220</v>
      </c>
      <c r="K572" t="s">
        <v>221</v>
      </c>
      <c r="L572">
        <v>10000</v>
      </c>
      <c r="M572" s="211">
        <v>44408</v>
      </c>
      <c r="O572" s="212" t="s">
        <v>60</v>
      </c>
      <c r="P572" t="s">
        <v>261</v>
      </c>
      <c r="S572">
        <v>3472</v>
      </c>
      <c r="T572">
        <v>3472</v>
      </c>
      <c r="U572">
        <v>0</v>
      </c>
      <c r="V572">
        <v>3472</v>
      </c>
      <c r="W572">
        <v>0</v>
      </c>
      <c r="X572" s="140">
        <v>6528</v>
      </c>
      <c r="Y572" s="209">
        <f t="shared" si="8"/>
        <v>6528</v>
      </c>
      <c r="Z572">
        <v>0</v>
      </c>
      <c r="AE572">
        <v>44386</v>
      </c>
      <c r="AF572">
        <v>44386</v>
      </c>
      <c r="AG572" t="s">
        <v>223</v>
      </c>
      <c r="AN572" t="s">
        <v>218</v>
      </c>
      <c r="AO572" t="s">
        <v>262</v>
      </c>
      <c r="AP572" t="s">
        <v>225</v>
      </c>
      <c r="AQ572">
        <v>0.13</v>
      </c>
      <c r="AR572" t="s">
        <v>238</v>
      </c>
    </row>
    <row r="573" hidden="1" spans="1:44">
      <c r="A573" t="s">
        <v>58</v>
      </c>
      <c r="B573" t="s">
        <v>53</v>
      </c>
      <c r="C573" s="209" t="s">
        <v>54</v>
      </c>
      <c r="D573" s="210">
        <v>71000121062076</v>
      </c>
      <c r="E573" s="211">
        <v>44373</v>
      </c>
      <c r="F573" t="s">
        <v>218</v>
      </c>
      <c r="G573" t="s">
        <v>260</v>
      </c>
      <c r="H573">
        <v>1</v>
      </c>
      <c r="I573" t="s">
        <v>67</v>
      </c>
      <c r="J573" t="s">
        <v>270</v>
      </c>
      <c r="K573" t="s">
        <v>221</v>
      </c>
      <c r="L573">
        <v>3800</v>
      </c>
      <c r="M573" s="211">
        <v>44393</v>
      </c>
      <c r="N573" s="211">
        <v>44394</v>
      </c>
      <c r="O573" s="212" t="s">
        <v>60</v>
      </c>
      <c r="P573" t="s">
        <v>261</v>
      </c>
      <c r="S573">
        <v>0</v>
      </c>
      <c r="T573">
        <v>0</v>
      </c>
      <c r="U573">
        <v>0</v>
      </c>
      <c r="V573">
        <v>0</v>
      </c>
      <c r="W573">
        <v>0</v>
      </c>
      <c r="X573" s="140">
        <v>3800</v>
      </c>
      <c r="Y573" s="209">
        <f t="shared" si="8"/>
        <v>3800</v>
      </c>
      <c r="Z573">
        <v>0</v>
      </c>
      <c r="AE573"/>
      <c r="AF573"/>
      <c r="AG573" t="s">
        <v>223</v>
      </c>
      <c r="AN573" t="s">
        <v>218</v>
      </c>
      <c r="AO573" t="s">
        <v>262</v>
      </c>
      <c r="AP573" t="s">
        <v>225</v>
      </c>
      <c r="AQ573">
        <v>0.13</v>
      </c>
      <c r="AR573" t="s">
        <v>238</v>
      </c>
    </row>
    <row r="574" hidden="1" spans="1:44">
      <c r="A574" t="s">
        <v>58</v>
      </c>
      <c r="B574" t="s">
        <v>53</v>
      </c>
      <c r="C574" s="209" t="s">
        <v>54</v>
      </c>
      <c r="D574" s="210">
        <v>71000121062076</v>
      </c>
      <c r="E574" s="211">
        <v>44373</v>
      </c>
      <c r="F574" t="s">
        <v>218</v>
      </c>
      <c r="G574" t="s">
        <v>260</v>
      </c>
      <c r="H574">
        <v>2</v>
      </c>
      <c r="I574" t="s">
        <v>67</v>
      </c>
      <c r="J574" t="s">
        <v>270</v>
      </c>
      <c r="K574" t="s">
        <v>221</v>
      </c>
      <c r="L574">
        <v>2600</v>
      </c>
      <c r="M574" s="211">
        <v>44376</v>
      </c>
      <c r="N574" s="211">
        <v>44394</v>
      </c>
      <c r="O574" s="212" t="s">
        <v>60</v>
      </c>
      <c r="P574" t="s">
        <v>261</v>
      </c>
      <c r="S574">
        <v>300</v>
      </c>
      <c r="T574">
        <v>300</v>
      </c>
      <c r="U574">
        <v>0</v>
      </c>
      <c r="V574">
        <v>300</v>
      </c>
      <c r="W574">
        <v>0</v>
      </c>
      <c r="X574" s="140">
        <v>2300</v>
      </c>
      <c r="Y574" s="209">
        <f t="shared" si="8"/>
        <v>2300</v>
      </c>
      <c r="Z574">
        <v>0</v>
      </c>
      <c r="AE574">
        <v>44382</v>
      </c>
      <c r="AF574">
        <v>44382</v>
      </c>
      <c r="AG574" t="s">
        <v>223</v>
      </c>
      <c r="AN574" t="s">
        <v>218</v>
      </c>
      <c r="AO574" t="s">
        <v>262</v>
      </c>
      <c r="AP574" t="s">
        <v>225</v>
      </c>
      <c r="AQ574">
        <v>0.13</v>
      </c>
      <c r="AR574" t="s">
        <v>238</v>
      </c>
    </row>
    <row r="575" hidden="1" spans="1:44">
      <c r="A575" t="s">
        <v>58</v>
      </c>
      <c r="B575" t="s">
        <v>53</v>
      </c>
      <c r="C575" s="209" t="s">
        <v>54</v>
      </c>
      <c r="D575" s="210">
        <v>71000121062076</v>
      </c>
      <c r="E575" s="211">
        <v>44373</v>
      </c>
      <c r="F575" t="s">
        <v>218</v>
      </c>
      <c r="G575" t="s">
        <v>260</v>
      </c>
      <c r="H575">
        <v>3</v>
      </c>
      <c r="I575" t="s">
        <v>69</v>
      </c>
      <c r="J575" t="s">
        <v>220</v>
      </c>
      <c r="K575" t="s">
        <v>221</v>
      </c>
      <c r="L575">
        <v>7800</v>
      </c>
      <c r="M575" s="211">
        <v>44411</v>
      </c>
      <c r="N575" s="211">
        <v>44398</v>
      </c>
      <c r="O575" s="212" t="s">
        <v>60</v>
      </c>
      <c r="P575" t="s">
        <v>261</v>
      </c>
      <c r="S575">
        <v>0</v>
      </c>
      <c r="T575">
        <v>0</v>
      </c>
      <c r="U575">
        <v>0</v>
      </c>
      <c r="V575">
        <v>0</v>
      </c>
      <c r="W575">
        <v>0</v>
      </c>
      <c r="X575" s="140">
        <v>7800</v>
      </c>
      <c r="Y575" s="209">
        <f t="shared" si="8"/>
        <v>7800</v>
      </c>
      <c r="Z575">
        <v>0</v>
      </c>
      <c r="AE575"/>
      <c r="AF575"/>
      <c r="AG575" t="s">
        <v>223</v>
      </c>
      <c r="AN575" t="s">
        <v>218</v>
      </c>
      <c r="AO575" t="s">
        <v>262</v>
      </c>
      <c r="AP575" t="s">
        <v>225</v>
      </c>
      <c r="AQ575">
        <v>0.13</v>
      </c>
      <c r="AR575" t="s">
        <v>238</v>
      </c>
    </row>
    <row r="576" hidden="1" spans="1:44">
      <c r="A576" t="s">
        <v>58</v>
      </c>
      <c r="B576" t="s">
        <v>53</v>
      </c>
      <c r="C576" s="209" t="s">
        <v>54</v>
      </c>
      <c r="D576" s="210">
        <v>71000121062076</v>
      </c>
      <c r="E576" s="211">
        <v>44373</v>
      </c>
      <c r="F576" t="s">
        <v>218</v>
      </c>
      <c r="G576" t="s">
        <v>260</v>
      </c>
      <c r="H576">
        <v>5</v>
      </c>
      <c r="I576" t="s">
        <v>69</v>
      </c>
      <c r="J576" t="s">
        <v>220</v>
      </c>
      <c r="K576" t="s">
        <v>221</v>
      </c>
      <c r="L576">
        <v>10000</v>
      </c>
      <c r="M576" s="211">
        <v>44383</v>
      </c>
      <c r="N576" s="211">
        <v>44394</v>
      </c>
      <c r="O576" s="212" t="s">
        <v>60</v>
      </c>
      <c r="P576" t="s">
        <v>261</v>
      </c>
      <c r="S576">
        <v>7441</v>
      </c>
      <c r="T576">
        <v>5051</v>
      </c>
      <c r="U576">
        <v>0</v>
      </c>
      <c r="V576">
        <v>5051</v>
      </c>
      <c r="W576">
        <v>0</v>
      </c>
      <c r="X576" s="140">
        <v>4949</v>
      </c>
      <c r="Y576" s="209">
        <f t="shared" si="8"/>
        <v>2559</v>
      </c>
      <c r="Z576">
        <v>0</v>
      </c>
      <c r="AE576">
        <v>44393</v>
      </c>
      <c r="AF576">
        <v>44393</v>
      </c>
      <c r="AG576" t="s">
        <v>223</v>
      </c>
      <c r="AN576" t="s">
        <v>218</v>
      </c>
      <c r="AO576" t="s">
        <v>262</v>
      </c>
      <c r="AP576" t="s">
        <v>225</v>
      </c>
      <c r="AQ576">
        <v>0.13</v>
      </c>
      <c r="AR576" t="s">
        <v>238</v>
      </c>
    </row>
    <row r="577" hidden="1" spans="1:44">
      <c r="A577" t="s">
        <v>58</v>
      </c>
      <c r="B577" t="s">
        <v>53</v>
      </c>
      <c r="C577" s="209" t="s">
        <v>54</v>
      </c>
      <c r="D577" s="210">
        <v>71000121070137</v>
      </c>
      <c r="E577" s="211">
        <v>44379</v>
      </c>
      <c r="F577" t="s">
        <v>218</v>
      </c>
      <c r="G577" t="s">
        <v>260</v>
      </c>
      <c r="H577">
        <v>1</v>
      </c>
      <c r="I577" t="s">
        <v>67</v>
      </c>
      <c r="J577" t="s">
        <v>270</v>
      </c>
      <c r="K577" t="s">
        <v>221</v>
      </c>
      <c r="L577">
        <v>800</v>
      </c>
      <c r="M577" s="211">
        <v>44407</v>
      </c>
      <c r="N577" s="211">
        <v>44394</v>
      </c>
      <c r="O577" s="212" t="s">
        <v>60</v>
      </c>
      <c r="P577" t="s">
        <v>261</v>
      </c>
      <c r="S577">
        <v>0</v>
      </c>
      <c r="T577">
        <v>0</v>
      </c>
      <c r="U577">
        <v>0</v>
      </c>
      <c r="V577">
        <v>0</v>
      </c>
      <c r="W577">
        <v>0</v>
      </c>
      <c r="X577" s="140">
        <v>800</v>
      </c>
      <c r="Y577" s="209">
        <f t="shared" si="8"/>
        <v>800</v>
      </c>
      <c r="Z577">
        <v>0</v>
      </c>
      <c r="AE577"/>
      <c r="AF577"/>
      <c r="AG577" t="s">
        <v>223</v>
      </c>
      <c r="AN577" t="s">
        <v>218</v>
      </c>
      <c r="AO577" t="s">
        <v>262</v>
      </c>
      <c r="AP577" t="s">
        <v>225</v>
      </c>
      <c r="AQ577">
        <v>0.13</v>
      </c>
      <c r="AR577" t="s">
        <v>238</v>
      </c>
    </row>
    <row r="578" hidden="1" spans="1:44">
      <c r="A578" t="s">
        <v>58</v>
      </c>
      <c r="B578" t="s">
        <v>53</v>
      </c>
      <c r="C578" s="209" t="s">
        <v>54</v>
      </c>
      <c r="D578" s="210">
        <v>71000121070594</v>
      </c>
      <c r="E578" s="211">
        <v>44383</v>
      </c>
      <c r="F578" t="s">
        <v>218</v>
      </c>
      <c r="G578" t="s">
        <v>260</v>
      </c>
      <c r="H578">
        <v>4</v>
      </c>
      <c r="I578" t="s">
        <v>68</v>
      </c>
      <c r="J578" t="s">
        <v>270</v>
      </c>
      <c r="K578" t="s">
        <v>221</v>
      </c>
      <c r="L578">
        <v>1200</v>
      </c>
      <c r="M578" s="211">
        <v>44385</v>
      </c>
      <c r="N578" s="211">
        <v>44394</v>
      </c>
      <c r="O578" s="212" t="s">
        <v>60</v>
      </c>
      <c r="P578" t="s">
        <v>261</v>
      </c>
      <c r="S578">
        <v>0</v>
      </c>
      <c r="T578">
        <v>0</v>
      </c>
      <c r="U578">
        <v>0</v>
      </c>
      <c r="V578">
        <v>0</v>
      </c>
      <c r="W578">
        <v>0</v>
      </c>
      <c r="X578" s="140">
        <v>1200</v>
      </c>
      <c r="Y578" s="209">
        <f t="shared" si="8"/>
        <v>1200</v>
      </c>
      <c r="Z578">
        <v>0</v>
      </c>
      <c r="AE578"/>
      <c r="AF578"/>
      <c r="AG578" t="s">
        <v>223</v>
      </c>
      <c r="AN578" t="s">
        <v>218</v>
      </c>
      <c r="AO578" t="s">
        <v>262</v>
      </c>
      <c r="AP578" t="s">
        <v>225</v>
      </c>
      <c r="AQ578">
        <v>0.13</v>
      </c>
      <c r="AR578" t="s">
        <v>238</v>
      </c>
    </row>
    <row r="579" hidden="1" spans="1:44">
      <c r="A579" t="s">
        <v>58</v>
      </c>
      <c r="B579" t="s">
        <v>53</v>
      </c>
      <c r="C579" s="209" t="s">
        <v>54</v>
      </c>
      <c r="D579" s="210">
        <v>71000121070594</v>
      </c>
      <c r="E579" s="211">
        <v>44383</v>
      </c>
      <c r="F579" t="s">
        <v>218</v>
      </c>
      <c r="G579" t="s">
        <v>260</v>
      </c>
      <c r="H579">
        <v>5</v>
      </c>
      <c r="I579" t="s">
        <v>68</v>
      </c>
      <c r="J579" t="s">
        <v>270</v>
      </c>
      <c r="K579" t="s">
        <v>221</v>
      </c>
      <c r="L579">
        <v>1200</v>
      </c>
      <c r="M579" s="211">
        <v>44392</v>
      </c>
      <c r="O579" s="212" t="s">
        <v>60</v>
      </c>
      <c r="P579" t="s">
        <v>261</v>
      </c>
      <c r="S579">
        <v>0</v>
      </c>
      <c r="T579">
        <v>0</v>
      </c>
      <c r="U579">
        <v>0</v>
      </c>
      <c r="V579">
        <v>0</v>
      </c>
      <c r="W579">
        <v>0</v>
      </c>
      <c r="X579" s="140">
        <v>1200</v>
      </c>
      <c r="Y579" s="209">
        <f t="shared" ref="Y579:Y642" si="9">L579-S579</f>
        <v>1200</v>
      </c>
      <c r="Z579">
        <v>0</v>
      </c>
      <c r="AE579"/>
      <c r="AF579"/>
      <c r="AG579" t="s">
        <v>223</v>
      </c>
      <c r="AN579" t="s">
        <v>218</v>
      </c>
      <c r="AO579" t="s">
        <v>262</v>
      </c>
      <c r="AP579" t="s">
        <v>225</v>
      </c>
      <c r="AQ579">
        <v>0.13</v>
      </c>
      <c r="AR579" t="s">
        <v>238</v>
      </c>
    </row>
    <row r="580" hidden="1" spans="1:44">
      <c r="A580" t="s">
        <v>58</v>
      </c>
      <c r="B580" t="s">
        <v>53</v>
      </c>
      <c r="C580" s="209" t="s">
        <v>54</v>
      </c>
      <c r="D580" s="210">
        <v>71000121070703</v>
      </c>
      <c r="E580" s="211">
        <v>44384</v>
      </c>
      <c r="F580" t="s">
        <v>218</v>
      </c>
      <c r="G580" t="s">
        <v>260</v>
      </c>
      <c r="H580">
        <v>1</v>
      </c>
      <c r="I580" t="s">
        <v>68</v>
      </c>
      <c r="J580" t="s">
        <v>270</v>
      </c>
      <c r="K580" t="s">
        <v>221</v>
      </c>
      <c r="L580">
        <v>1200</v>
      </c>
      <c r="M580" s="211">
        <v>44396</v>
      </c>
      <c r="O580" s="212" t="s">
        <v>60</v>
      </c>
      <c r="P580" t="s">
        <v>261</v>
      </c>
      <c r="S580">
        <v>0</v>
      </c>
      <c r="T580">
        <v>0</v>
      </c>
      <c r="U580">
        <v>0</v>
      </c>
      <c r="V580">
        <v>0</v>
      </c>
      <c r="W580">
        <v>0</v>
      </c>
      <c r="X580" s="140">
        <v>1200</v>
      </c>
      <c r="Y580" s="209">
        <f t="shared" si="9"/>
        <v>1200</v>
      </c>
      <c r="Z580">
        <v>0</v>
      </c>
      <c r="AE580"/>
      <c r="AF580"/>
      <c r="AG580" t="s">
        <v>223</v>
      </c>
      <c r="AN580" t="s">
        <v>218</v>
      </c>
      <c r="AO580" t="s">
        <v>262</v>
      </c>
      <c r="AP580" t="s">
        <v>225</v>
      </c>
      <c r="AQ580">
        <v>0.13</v>
      </c>
      <c r="AR580" t="s">
        <v>238</v>
      </c>
    </row>
    <row r="581" hidden="1" spans="1:44">
      <c r="A581" t="s">
        <v>58</v>
      </c>
      <c r="B581" t="s">
        <v>53</v>
      </c>
      <c r="C581" s="209" t="s">
        <v>54</v>
      </c>
      <c r="D581" s="210">
        <v>71000121070703</v>
      </c>
      <c r="E581" s="211">
        <v>44384</v>
      </c>
      <c r="F581" t="s">
        <v>218</v>
      </c>
      <c r="G581" t="s">
        <v>260</v>
      </c>
      <c r="H581">
        <v>2</v>
      </c>
      <c r="I581" t="s">
        <v>68</v>
      </c>
      <c r="J581" t="s">
        <v>270</v>
      </c>
      <c r="K581" t="s">
        <v>221</v>
      </c>
      <c r="L581">
        <v>1200</v>
      </c>
      <c r="M581" s="211">
        <v>44398</v>
      </c>
      <c r="O581" s="212" t="s">
        <v>60</v>
      </c>
      <c r="P581" t="s">
        <v>261</v>
      </c>
      <c r="S581">
        <v>0</v>
      </c>
      <c r="T581">
        <v>0</v>
      </c>
      <c r="U581">
        <v>0</v>
      </c>
      <c r="V581">
        <v>0</v>
      </c>
      <c r="W581">
        <v>0</v>
      </c>
      <c r="X581" s="140">
        <v>1200</v>
      </c>
      <c r="Y581" s="209">
        <f t="shared" si="9"/>
        <v>1200</v>
      </c>
      <c r="Z581">
        <v>0</v>
      </c>
      <c r="AE581"/>
      <c r="AF581"/>
      <c r="AG581" t="s">
        <v>223</v>
      </c>
      <c r="AN581" t="s">
        <v>218</v>
      </c>
      <c r="AO581" t="s">
        <v>262</v>
      </c>
      <c r="AP581" t="s">
        <v>225</v>
      </c>
      <c r="AQ581">
        <v>0.13</v>
      </c>
      <c r="AR581" t="s">
        <v>238</v>
      </c>
    </row>
    <row r="582" hidden="1" spans="1:44">
      <c r="A582" t="s">
        <v>58</v>
      </c>
      <c r="B582" t="s">
        <v>53</v>
      </c>
      <c r="C582" s="209" t="s">
        <v>54</v>
      </c>
      <c r="D582" s="210">
        <v>71000121070703</v>
      </c>
      <c r="E582" s="211">
        <v>44384</v>
      </c>
      <c r="F582" t="s">
        <v>218</v>
      </c>
      <c r="G582" t="s">
        <v>260</v>
      </c>
      <c r="H582">
        <v>3</v>
      </c>
      <c r="I582" t="s">
        <v>66</v>
      </c>
      <c r="J582" t="s">
        <v>271</v>
      </c>
      <c r="K582" t="s">
        <v>221</v>
      </c>
      <c r="L582">
        <v>2000</v>
      </c>
      <c r="M582" s="211">
        <v>44392</v>
      </c>
      <c r="O582" s="212" t="s">
        <v>60</v>
      </c>
      <c r="P582" t="s">
        <v>261</v>
      </c>
      <c r="S582">
        <v>0</v>
      </c>
      <c r="T582">
        <v>0</v>
      </c>
      <c r="U582">
        <v>0</v>
      </c>
      <c r="V582">
        <v>0</v>
      </c>
      <c r="W582">
        <v>0</v>
      </c>
      <c r="X582" s="140">
        <v>2000</v>
      </c>
      <c r="Y582" s="209">
        <f t="shared" si="9"/>
        <v>2000</v>
      </c>
      <c r="Z582">
        <v>0</v>
      </c>
      <c r="AE582"/>
      <c r="AF582"/>
      <c r="AG582" t="s">
        <v>223</v>
      </c>
      <c r="AN582" t="s">
        <v>218</v>
      </c>
      <c r="AO582" t="s">
        <v>262</v>
      </c>
      <c r="AP582" t="s">
        <v>225</v>
      </c>
      <c r="AQ582">
        <v>0.13</v>
      </c>
      <c r="AR582" t="s">
        <v>238</v>
      </c>
    </row>
    <row r="583" hidden="1" spans="1:44">
      <c r="A583" t="s">
        <v>58</v>
      </c>
      <c r="B583" t="s">
        <v>53</v>
      </c>
      <c r="C583" s="209" t="s">
        <v>54</v>
      </c>
      <c r="D583" s="210">
        <v>71000121070703</v>
      </c>
      <c r="E583" s="211">
        <v>44384</v>
      </c>
      <c r="F583" t="s">
        <v>218</v>
      </c>
      <c r="G583" t="s">
        <v>260</v>
      </c>
      <c r="H583">
        <v>4</v>
      </c>
      <c r="I583" t="s">
        <v>66</v>
      </c>
      <c r="J583" t="s">
        <v>271</v>
      </c>
      <c r="K583" t="s">
        <v>221</v>
      </c>
      <c r="L583">
        <v>1700</v>
      </c>
      <c r="M583" s="211">
        <v>44398</v>
      </c>
      <c r="O583" s="212" t="s">
        <v>60</v>
      </c>
      <c r="P583" t="s">
        <v>261</v>
      </c>
      <c r="S583">
        <v>0</v>
      </c>
      <c r="T583">
        <v>0</v>
      </c>
      <c r="U583">
        <v>0</v>
      </c>
      <c r="V583">
        <v>0</v>
      </c>
      <c r="W583">
        <v>0</v>
      </c>
      <c r="X583" s="140">
        <v>1700</v>
      </c>
      <c r="Y583" s="209">
        <f t="shared" si="9"/>
        <v>1700</v>
      </c>
      <c r="Z583">
        <v>0</v>
      </c>
      <c r="AE583"/>
      <c r="AF583"/>
      <c r="AG583" t="s">
        <v>223</v>
      </c>
      <c r="AN583" t="s">
        <v>218</v>
      </c>
      <c r="AO583" t="s">
        <v>262</v>
      </c>
      <c r="AP583" t="s">
        <v>225</v>
      </c>
      <c r="AQ583">
        <v>0.13</v>
      </c>
      <c r="AR583" t="s">
        <v>238</v>
      </c>
    </row>
    <row r="584" hidden="1" spans="1:44">
      <c r="A584" t="s">
        <v>58</v>
      </c>
      <c r="B584" t="s">
        <v>53</v>
      </c>
      <c r="C584" s="209" t="s">
        <v>54</v>
      </c>
      <c r="D584" s="210">
        <v>71000121070703</v>
      </c>
      <c r="E584" s="211">
        <v>44384</v>
      </c>
      <c r="F584" t="s">
        <v>218</v>
      </c>
      <c r="G584" t="s">
        <v>260</v>
      </c>
      <c r="H584">
        <v>5</v>
      </c>
      <c r="I584" t="s">
        <v>69</v>
      </c>
      <c r="J584" t="s">
        <v>220</v>
      </c>
      <c r="K584" t="s">
        <v>221</v>
      </c>
      <c r="L584">
        <v>2400</v>
      </c>
      <c r="M584" s="211">
        <v>44400</v>
      </c>
      <c r="O584" s="212" t="s">
        <v>60</v>
      </c>
      <c r="P584" t="s">
        <v>261</v>
      </c>
      <c r="S584">
        <v>0</v>
      </c>
      <c r="T584">
        <v>0</v>
      </c>
      <c r="U584">
        <v>0</v>
      </c>
      <c r="V584">
        <v>0</v>
      </c>
      <c r="W584">
        <v>0</v>
      </c>
      <c r="X584" s="140">
        <v>2400</v>
      </c>
      <c r="Y584" s="209">
        <f t="shared" si="9"/>
        <v>2400</v>
      </c>
      <c r="Z584">
        <v>0</v>
      </c>
      <c r="AE584"/>
      <c r="AF584"/>
      <c r="AG584" t="s">
        <v>223</v>
      </c>
      <c r="AN584" t="s">
        <v>218</v>
      </c>
      <c r="AO584" t="s">
        <v>262</v>
      </c>
      <c r="AP584" t="s">
        <v>225</v>
      </c>
      <c r="AQ584">
        <v>0.13</v>
      </c>
      <c r="AR584" t="s">
        <v>238</v>
      </c>
    </row>
    <row r="585" hidden="1" spans="1:44">
      <c r="A585" t="s">
        <v>58</v>
      </c>
      <c r="B585" t="s">
        <v>53</v>
      </c>
      <c r="C585" s="209" t="s">
        <v>54</v>
      </c>
      <c r="D585" s="210">
        <v>71000121070924</v>
      </c>
      <c r="E585" s="211">
        <v>44387</v>
      </c>
      <c r="F585" t="s">
        <v>218</v>
      </c>
      <c r="G585" t="s">
        <v>260</v>
      </c>
      <c r="H585">
        <v>1</v>
      </c>
      <c r="I585" t="s">
        <v>66</v>
      </c>
      <c r="J585" t="s">
        <v>271</v>
      </c>
      <c r="K585" t="s">
        <v>221</v>
      </c>
      <c r="L585">
        <v>1600</v>
      </c>
      <c r="M585" s="211">
        <v>44413</v>
      </c>
      <c r="O585" s="212" t="s">
        <v>227</v>
      </c>
      <c r="P585" t="s">
        <v>261</v>
      </c>
      <c r="S585">
        <v>0</v>
      </c>
      <c r="T585">
        <v>0</v>
      </c>
      <c r="U585">
        <v>0</v>
      </c>
      <c r="V585">
        <v>0</v>
      </c>
      <c r="W585">
        <v>0</v>
      </c>
      <c r="X585" s="140">
        <v>1600</v>
      </c>
      <c r="Y585" s="209">
        <f t="shared" si="9"/>
        <v>1600</v>
      </c>
      <c r="Z585">
        <v>0</v>
      </c>
      <c r="AE585"/>
      <c r="AF585"/>
      <c r="AG585" t="s">
        <v>223</v>
      </c>
      <c r="AN585" t="s">
        <v>218</v>
      </c>
      <c r="AO585" t="s">
        <v>262</v>
      </c>
      <c r="AP585" t="s">
        <v>225</v>
      </c>
      <c r="AQ585">
        <v>0.13</v>
      </c>
      <c r="AR585" t="s">
        <v>238</v>
      </c>
    </row>
    <row r="586" hidden="1" spans="1:44">
      <c r="A586" t="s">
        <v>58</v>
      </c>
      <c r="B586" t="s">
        <v>18</v>
      </c>
      <c r="C586" s="209" t="s">
        <v>19</v>
      </c>
      <c r="D586" s="210">
        <v>71000121061586</v>
      </c>
      <c r="E586" s="211">
        <v>44366</v>
      </c>
      <c r="F586" t="s">
        <v>218</v>
      </c>
      <c r="G586" t="s">
        <v>272</v>
      </c>
      <c r="H586">
        <v>1</v>
      </c>
      <c r="I586" t="s">
        <v>102</v>
      </c>
      <c r="J586" t="s">
        <v>273</v>
      </c>
      <c r="K586" t="s">
        <v>221</v>
      </c>
      <c r="L586">
        <v>2456</v>
      </c>
      <c r="M586" s="211">
        <v>44410</v>
      </c>
      <c r="N586" s="211">
        <v>44410</v>
      </c>
      <c r="O586" s="212" t="s">
        <v>227</v>
      </c>
      <c r="P586" t="s">
        <v>274</v>
      </c>
      <c r="S586">
        <v>0</v>
      </c>
      <c r="T586">
        <v>0</v>
      </c>
      <c r="U586">
        <v>0</v>
      </c>
      <c r="V586">
        <v>0</v>
      </c>
      <c r="W586">
        <v>0</v>
      </c>
      <c r="X586" s="140">
        <v>2456</v>
      </c>
      <c r="Y586" s="209">
        <f t="shared" si="9"/>
        <v>2456</v>
      </c>
      <c r="Z586">
        <v>0</v>
      </c>
      <c r="AA586">
        <v>51000121062670</v>
      </c>
      <c r="AB586" t="s">
        <v>275</v>
      </c>
      <c r="AE586"/>
      <c r="AF586"/>
      <c r="AG586" t="s">
        <v>223</v>
      </c>
      <c r="AN586" t="s">
        <v>218</v>
      </c>
      <c r="AO586" t="s">
        <v>276</v>
      </c>
      <c r="AP586" t="s">
        <v>225</v>
      </c>
      <c r="AQ586">
        <v>0.13</v>
      </c>
      <c r="AR586" t="s">
        <v>277</v>
      </c>
    </row>
    <row r="587" hidden="1" spans="1:44">
      <c r="A587" t="s">
        <v>58</v>
      </c>
      <c r="B587" t="s">
        <v>18</v>
      </c>
      <c r="C587" s="209" t="s">
        <v>19</v>
      </c>
      <c r="D587" s="210">
        <v>71000121061996</v>
      </c>
      <c r="E587" s="211">
        <v>44372</v>
      </c>
      <c r="F587" t="s">
        <v>218</v>
      </c>
      <c r="G587" t="s">
        <v>272</v>
      </c>
      <c r="H587">
        <v>1</v>
      </c>
      <c r="I587" t="s">
        <v>102</v>
      </c>
      <c r="J587" t="s">
        <v>273</v>
      </c>
      <c r="K587" t="s">
        <v>221</v>
      </c>
      <c r="L587">
        <v>10000</v>
      </c>
      <c r="M587" s="211">
        <v>44379</v>
      </c>
      <c r="N587" s="211">
        <v>44393</v>
      </c>
      <c r="O587" s="212" t="s">
        <v>60</v>
      </c>
      <c r="P587" t="s">
        <v>274</v>
      </c>
      <c r="S587">
        <v>0</v>
      </c>
      <c r="T587">
        <v>0</v>
      </c>
      <c r="U587">
        <v>0</v>
      </c>
      <c r="V587">
        <v>0</v>
      </c>
      <c r="W587">
        <v>0</v>
      </c>
      <c r="X587" s="140">
        <v>10000</v>
      </c>
      <c r="Y587" s="209">
        <f t="shared" si="9"/>
        <v>10000</v>
      </c>
      <c r="Z587">
        <v>0</v>
      </c>
      <c r="AA587">
        <v>51000121063475</v>
      </c>
      <c r="AB587" t="s">
        <v>275</v>
      </c>
      <c r="AE587"/>
      <c r="AF587"/>
      <c r="AG587" t="s">
        <v>223</v>
      </c>
      <c r="AN587" t="s">
        <v>218</v>
      </c>
      <c r="AO587" t="s">
        <v>276</v>
      </c>
      <c r="AP587" t="s">
        <v>225</v>
      </c>
      <c r="AQ587">
        <v>0.13</v>
      </c>
      <c r="AR587" t="s">
        <v>277</v>
      </c>
    </row>
    <row r="588" hidden="1" spans="1:44">
      <c r="A588" t="s">
        <v>58</v>
      </c>
      <c r="B588" t="s">
        <v>18</v>
      </c>
      <c r="C588" s="209" t="s">
        <v>19</v>
      </c>
      <c r="D588" s="210">
        <v>71000121061996</v>
      </c>
      <c r="E588" s="211">
        <v>44372</v>
      </c>
      <c r="F588" t="s">
        <v>245</v>
      </c>
      <c r="G588" t="s">
        <v>272</v>
      </c>
      <c r="H588">
        <v>2</v>
      </c>
      <c r="I588" t="s">
        <v>102</v>
      </c>
      <c r="J588" t="s">
        <v>273</v>
      </c>
      <c r="K588" t="s">
        <v>221</v>
      </c>
      <c r="L588">
        <v>10000</v>
      </c>
      <c r="M588" s="211">
        <v>44386</v>
      </c>
      <c r="N588" s="211">
        <v>44393</v>
      </c>
      <c r="O588" s="212" t="s">
        <v>60</v>
      </c>
      <c r="P588" t="s">
        <v>274</v>
      </c>
      <c r="S588">
        <v>10000</v>
      </c>
      <c r="T588">
        <v>0</v>
      </c>
      <c r="U588">
        <v>0</v>
      </c>
      <c r="V588">
        <v>0</v>
      </c>
      <c r="W588">
        <v>0</v>
      </c>
      <c r="X588" s="140">
        <v>10000</v>
      </c>
      <c r="Y588" s="209">
        <f t="shared" si="9"/>
        <v>0</v>
      </c>
      <c r="Z588">
        <v>0</v>
      </c>
      <c r="AA588">
        <v>51000121063475</v>
      </c>
      <c r="AB588" t="s">
        <v>275</v>
      </c>
      <c r="AE588" s="211">
        <v>44392</v>
      </c>
      <c r="AG588" t="s">
        <v>223</v>
      </c>
      <c r="AN588" t="s">
        <v>218</v>
      </c>
      <c r="AO588" t="s">
        <v>276</v>
      </c>
      <c r="AP588" t="s">
        <v>225</v>
      </c>
      <c r="AQ588">
        <v>0.13</v>
      </c>
      <c r="AR588" t="s">
        <v>277</v>
      </c>
    </row>
    <row r="589" hidden="1" spans="1:44">
      <c r="A589" t="s">
        <v>58</v>
      </c>
      <c r="B589" t="s">
        <v>18</v>
      </c>
      <c r="C589" s="209" t="s">
        <v>19</v>
      </c>
      <c r="D589" s="210">
        <v>71000121061996</v>
      </c>
      <c r="E589" s="211">
        <v>44372</v>
      </c>
      <c r="F589" t="s">
        <v>218</v>
      </c>
      <c r="G589" t="s">
        <v>272</v>
      </c>
      <c r="H589">
        <v>3</v>
      </c>
      <c r="I589" t="s">
        <v>102</v>
      </c>
      <c r="J589" t="s">
        <v>273</v>
      </c>
      <c r="K589" t="s">
        <v>221</v>
      </c>
      <c r="L589">
        <v>10000</v>
      </c>
      <c r="M589" s="211">
        <v>44393</v>
      </c>
      <c r="N589" s="211">
        <v>44393</v>
      </c>
      <c r="O589" s="212" t="s">
        <v>60</v>
      </c>
      <c r="P589" t="s">
        <v>274</v>
      </c>
      <c r="S589">
        <v>0</v>
      </c>
      <c r="T589">
        <v>0</v>
      </c>
      <c r="U589">
        <v>0</v>
      </c>
      <c r="V589">
        <v>0</v>
      </c>
      <c r="W589">
        <v>0</v>
      </c>
      <c r="X589" s="140">
        <v>10000</v>
      </c>
      <c r="Y589" s="209">
        <f t="shared" si="9"/>
        <v>10000</v>
      </c>
      <c r="Z589">
        <v>0</v>
      </c>
      <c r="AA589">
        <v>51000121063475</v>
      </c>
      <c r="AB589" t="s">
        <v>275</v>
      </c>
      <c r="AE589"/>
      <c r="AF589"/>
      <c r="AG589" t="s">
        <v>223</v>
      </c>
      <c r="AN589" t="s">
        <v>218</v>
      </c>
      <c r="AO589" t="s">
        <v>276</v>
      </c>
      <c r="AP589" t="s">
        <v>225</v>
      </c>
      <c r="AQ589">
        <v>0.13</v>
      </c>
      <c r="AR589" t="s">
        <v>277</v>
      </c>
    </row>
    <row r="590" hidden="1" spans="1:44">
      <c r="A590" t="s">
        <v>58</v>
      </c>
      <c r="B590" t="s">
        <v>18</v>
      </c>
      <c r="C590" s="209" t="s">
        <v>19</v>
      </c>
      <c r="D590" s="210">
        <v>71000121061996</v>
      </c>
      <c r="E590" s="211">
        <v>44372</v>
      </c>
      <c r="F590" t="s">
        <v>218</v>
      </c>
      <c r="G590" t="s">
        <v>272</v>
      </c>
      <c r="H590">
        <v>4</v>
      </c>
      <c r="I590" t="s">
        <v>102</v>
      </c>
      <c r="J590" t="s">
        <v>273</v>
      </c>
      <c r="K590" t="s">
        <v>221</v>
      </c>
      <c r="L590">
        <v>10000</v>
      </c>
      <c r="M590" s="211">
        <v>44400</v>
      </c>
      <c r="N590" s="211">
        <v>44400</v>
      </c>
      <c r="O590" s="212" t="s">
        <v>60</v>
      </c>
      <c r="P590" t="s">
        <v>274</v>
      </c>
      <c r="S590">
        <v>0</v>
      </c>
      <c r="T590">
        <v>0</v>
      </c>
      <c r="U590">
        <v>0</v>
      </c>
      <c r="V590">
        <v>0</v>
      </c>
      <c r="W590">
        <v>0</v>
      </c>
      <c r="X590" s="140">
        <v>10000</v>
      </c>
      <c r="Y590" s="209">
        <f t="shared" si="9"/>
        <v>10000</v>
      </c>
      <c r="Z590">
        <v>0</v>
      </c>
      <c r="AA590">
        <v>51000121063475</v>
      </c>
      <c r="AB590" t="s">
        <v>275</v>
      </c>
      <c r="AE590"/>
      <c r="AF590"/>
      <c r="AG590" t="s">
        <v>223</v>
      </c>
      <c r="AN590" t="s">
        <v>218</v>
      </c>
      <c r="AO590" t="s">
        <v>276</v>
      </c>
      <c r="AP590" t="s">
        <v>225</v>
      </c>
      <c r="AQ590">
        <v>0.13</v>
      </c>
      <c r="AR590" t="s">
        <v>277</v>
      </c>
    </row>
    <row r="591" hidden="1" spans="1:44">
      <c r="A591" t="s">
        <v>58</v>
      </c>
      <c r="B591" t="s">
        <v>18</v>
      </c>
      <c r="C591" s="209" t="s">
        <v>19</v>
      </c>
      <c r="D591" s="210">
        <v>71000121061996</v>
      </c>
      <c r="E591" s="211">
        <v>44372</v>
      </c>
      <c r="F591" t="s">
        <v>218</v>
      </c>
      <c r="G591" t="s">
        <v>272</v>
      </c>
      <c r="H591">
        <v>5</v>
      </c>
      <c r="I591" t="s">
        <v>102</v>
      </c>
      <c r="J591" t="s">
        <v>273</v>
      </c>
      <c r="K591" t="s">
        <v>221</v>
      </c>
      <c r="L591">
        <v>10000</v>
      </c>
      <c r="M591" s="211">
        <v>44407</v>
      </c>
      <c r="N591" s="211">
        <v>44407</v>
      </c>
      <c r="O591" s="212" t="s">
        <v>60</v>
      </c>
      <c r="P591" t="s">
        <v>274</v>
      </c>
      <c r="S591">
        <v>0</v>
      </c>
      <c r="T591">
        <v>0</v>
      </c>
      <c r="U591">
        <v>0</v>
      </c>
      <c r="V591">
        <v>0</v>
      </c>
      <c r="W591">
        <v>0</v>
      </c>
      <c r="X591" s="140">
        <v>10000</v>
      </c>
      <c r="Y591" s="209">
        <f t="shared" si="9"/>
        <v>10000</v>
      </c>
      <c r="Z591">
        <v>0</v>
      </c>
      <c r="AA591">
        <v>51000121063475</v>
      </c>
      <c r="AB591" t="s">
        <v>275</v>
      </c>
      <c r="AE591"/>
      <c r="AF591"/>
      <c r="AG591" t="s">
        <v>223</v>
      </c>
      <c r="AN591" t="s">
        <v>218</v>
      </c>
      <c r="AO591" t="s">
        <v>276</v>
      </c>
      <c r="AP591" t="s">
        <v>225</v>
      </c>
      <c r="AQ591">
        <v>0.13</v>
      </c>
      <c r="AR591" t="s">
        <v>277</v>
      </c>
    </row>
    <row r="592" hidden="1" spans="1:44">
      <c r="A592" t="s">
        <v>58</v>
      </c>
      <c r="B592" t="s">
        <v>25</v>
      </c>
      <c r="C592" s="209" t="s">
        <v>26</v>
      </c>
      <c r="D592" s="210">
        <v>71000121030233</v>
      </c>
      <c r="E592" s="211">
        <v>44264</v>
      </c>
      <c r="F592" t="s">
        <v>218</v>
      </c>
      <c r="G592" t="s">
        <v>272</v>
      </c>
      <c r="H592">
        <v>3</v>
      </c>
      <c r="I592" t="s">
        <v>79</v>
      </c>
      <c r="J592" t="s">
        <v>240</v>
      </c>
      <c r="K592" t="s">
        <v>221</v>
      </c>
      <c r="L592">
        <v>584</v>
      </c>
      <c r="M592" s="211">
        <v>44362</v>
      </c>
      <c r="N592" s="211">
        <v>44378</v>
      </c>
      <c r="O592" s="212" t="s">
        <v>60</v>
      </c>
      <c r="P592" t="s">
        <v>274</v>
      </c>
      <c r="S592">
        <v>33</v>
      </c>
      <c r="T592">
        <v>0</v>
      </c>
      <c r="U592">
        <v>0</v>
      </c>
      <c r="V592">
        <v>33</v>
      </c>
      <c r="W592">
        <v>0</v>
      </c>
      <c r="X592" s="140">
        <v>551</v>
      </c>
      <c r="Y592" s="209">
        <f t="shared" si="9"/>
        <v>551</v>
      </c>
      <c r="Z592">
        <v>0</v>
      </c>
      <c r="AE592">
        <v>44377</v>
      </c>
      <c r="AF592">
        <v>44377</v>
      </c>
      <c r="AG592" t="s">
        <v>223</v>
      </c>
      <c r="AN592" t="s">
        <v>218</v>
      </c>
      <c r="AO592" t="s">
        <v>276</v>
      </c>
      <c r="AP592" t="s">
        <v>225</v>
      </c>
      <c r="AQ592">
        <v>0.13</v>
      </c>
      <c r="AR592" t="s">
        <v>277</v>
      </c>
    </row>
    <row r="593" hidden="1" spans="1:44">
      <c r="A593" t="s">
        <v>58</v>
      </c>
      <c r="B593" t="s">
        <v>25</v>
      </c>
      <c r="C593" s="209" t="s">
        <v>26</v>
      </c>
      <c r="D593" s="210">
        <v>71000121031138</v>
      </c>
      <c r="E593" s="211">
        <v>44275</v>
      </c>
      <c r="F593" t="s">
        <v>218</v>
      </c>
      <c r="G593" t="s">
        <v>272</v>
      </c>
      <c r="H593">
        <v>5</v>
      </c>
      <c r="I593" t="s">
        <v>89</v>
      </c>
      <c r="J593" t="s">
        <v>229</v>
      </c>
      <c r="K593" t="s">
        <v>221</v>
      </c>
      <c r="L593">
        <v>29</v>
      </c>
      <c r="M593" s="211">
        <v>44319</v>
      </c>
      <c r="N593" s="211">
        <v>44407</v>
      </c>
      <c r="O593" s="212" t="s">
        <v>60</v>
      </c>
      <c r="P593" t="s">
        <v>274</v>
      </c>
      <c r="S593">
        <v>7</v>
      </c>
      <c r="T593">
        <v>7</v>
      </c>
      <c r="U593">
        <v>0</v>
      </c>
      <c r="V593">
        <v>7</v>
      </c>
      <c r="W593">
        <v>0</v>
      </c>
      <c r="X593" s="140">
        <v>22</v>
      </c>
      <c r="Y593" s="209">
        <f t="shared" si="9"/>
        <v>22</v>
      </c>
      <c r="Z593">
        <v>0</v>
      </c>
      <c r="AA593">
        <v>51000121031853</v>
      </c>
      <c r="AB593" t="s">
        <v>275</v>
      </c>
      <c r="AE593">
        <v>44369</v>
      </c>
      <c r="AF593">
        <v>44369</v>
      </c>
      <c r="AG593" t="s">
        <v>223</v>
      </c>
      <c r="AN593" t="s">
        <v>218</v>
      </c>
      <c r="AO593" t="s">
        <v>276</v>
      </c>
      <c r="AP593" t="s">
        <v>225</v>
      </c>
      <c r="AQ593">
        <v>0.13</v>
      </c>
      <c r="AR593" t="s">
        <v>277</v>
      </c>
    </row>
    <row r="594" hidden="1" spans="1:44">
      <c r="A594" t="s">
        <v>58</v>
      </c>
      <c r="B594" t="s">
        <v>25</v>
      </c>
      <c r="C594" s="209" t="s">
        <v>26</v>
      </c>
      <c r="D594" s="210">
        <v>71000121031341</v>
      </c>
      <c r="E594" s="211">
        <v>44278</v>
      </c>
      <c r="F594" t="s">
        <v>218</v>
      </c>
      <c r="G594" t="s">
        <v>272</v>
      </c>
      <c r="H594">
        <v>4</v>
      </c>
      <c r="I594" t="s">
        <v>78</v>
      </c>
      <c r="J594" t="s">
        <v>240</v>
      </c>
      <c r="K594" t="s">
        <v>221</v>
      </c>
      <c r="L594">
        <v>204</v>
      </c>
      <c r="M594" s="211">
        <v>44333</v>
      </c>
      <c r="N594" s="211">
        <v>44403</v>
      </c>
      <c r="O594" s="212" t="s">
        <v>60</v>
      </c>
      <c r="P594" t="s">
        <v>274</v>
      </c>
      <c r="S594">
        <v>0</v>
      </c>
      <c r="T594">
        <v>0</v>
      </c>
      <c r="U594">
        <v>0</v>
      </c>
      <c r="V594">
        <v>0</v>
      </c>
      <c r="W594">
        <v>0</v>
      </c>
      <c r="X594" s="140">
        <v>204</v>
      </c>
      <c r="Y594" s="209">
        <f t="shared" si="9"/>
        <v>204</v>
      </c>
      <c r="Z594">
        <v>0</v>
      </c>
      <c r="AE594"/>
      <c r="AF594"/>
      <c r="AG594" t="s">
        <v>223</v>
      </c>
      <c r="AN594" t="s">
        <v>218</v>
      </c>
      <c r="AO594" t="s">
        <v>276</v>
      </c>
      <c r="AP594" t="s">
        <v>225</v>
      </c>
      <c r="AQ594">
        <v>0.13</v>
      </c>
      <c r="AR594" t="s">
        <v>277</v>
      </c>
    </row>
    <row r="595" hidden="1" spans="1:44">
      <c r="A595" t="s">
        <v>58</v>
      </c>
      <c r="B595" t="s">
        <v>25</v>
      </c>
      <c r="C595" s="209" t="s">
        <v>26</v>
      </c>
      <c r="D595" s="210">
        <v>71000121031341</v>
      </c>
      <c r="E595" s="211">
        <v>44278</v>
      </c>
      <c r="F595" t="s">
        <v>218</v>
      </c>
      <c r="G595" t="s">
        <v>272</v>
      </c>
      <c r="H595">
        <v>5</v>
      </c>
      <c r="I595" t="s">
        <v>78</v>
      </c>
      <c r="J595" t="s">
        <v>240</v>
      </c>
      <c r="K595" t="s">
        <v>221</v>
      </c>
      <c r="L595">
        <v>612</v>
      </c>
      <c r="M595" s="211">
        <v>44326</v>
      </c>
      <c r="N595" s="211">
        <v>44388</v>
      </c>
      <c r="O595" s="212" t="s">
        <v>60</v>
      </c>
      <c r="P595" t="s">
        <v>274</v>
      </c>
      <c r="S595">
        <v>311</v>
      </c>
      <c r="T595">
        <v>0</v>
      </c>
      <c r="U595">
        <v>0</v>
      </c>
      <c r="V595">
        <v>311</v>
      </c>
      <c r="W595">
        <v>0</v>
      </c>
      <c r="X595" s="140">
        <v>301</v>
      </c>
      <c r="Y595" s="209">
        <f t="shared" si="9"/>
        <v>301</v>
      </c>
      <c r="Z595">
        <v>0</v>
      </c>
      <c r="AE595">
        <v>44342</v>
      </c>
      <c r="AF595">
        <v>44342</v>
      </c>
      <c r="AG595" t="s">
        <v>223</v>
      </c>
      <c r="AN595" t="s">
        <v>218</v>
      </c>
      <c r="AO595" t="s">
        <v>276</v>
      </c>
      <c r="AP595" t="s">
        <v>225</v>
      </c>
      <c r="AQ595">
        <v>0.13</v>
      </c>
      <c r="AR595" t="s">
        <v>277</v>
      </c>
    </row>
    <row r="596" hidden="1" spans="1:44">
      <c r="A596" t="s">
        <v>58</v>
      </c>
      <c r="B596" t="s">
        <v>25</v>
      </c>
      <c r="C596" s="209" t="s">
        <v>26</v>
      </c>
      <c r="D596" s="210">
        <v>71000121031341</v>
      </c>
      <c r="E596" s="211">
        <v>44278</v>
      </c>
      <c r="F596" t="s">
        <v>218</v>
      </c>
      <c r="G596" t="s">
        <v>272</v>
      </c>
      <c r="H596">
        <v>6</v>
      </c>
      <c r="I596" t="s">
        <v>78</v>
      </c>
      <c r="J596" t="s">
        <v>240</v>
      </c>
      <c r="K596" t="s">
        <v>221</v>
      </c>
      <c r="L596">
        <v>738</v>
      </c>
      <c r="M596" s="211">
        <v>44319</v>
      </c>
      <c r="N596" s="211">
        <v>44403</v>
      </c>
      <c r="O596" s="212" t="s">
        <v>60</v>
      </c>
      <c r="P596" t="s">
        <v>274</v>
      </c>
      <c r="S596">
        <v>0</v>
      </c>
      <c r="T596">
        <v>0</v>
      </c>
      <c r="U596">
        <v>0</v>
      </c>
      <c r="V596">
        <v>0</v>
      </c>
      <c r="W596">
        <v>0</v>
      </c>
      <c r="X596" s="140">
        <v>738</v>
      </c>
      <c r="Y596" s="209">
        <f t="shared" si="9"/>
        <v>738</v>
      </c>
      <c r="Z596">
        <v>0</v>
      </c>
      <c r="AE596"/>
      <c r="AF596"/>
      <c r="AG596" t="s">
        <v>223</v>
      </c>
      <c r="AN596" t="s">
        <v>218</v>
      </c>
      <c r="AO596" t="s">
        <v>276</v>
      </c>
      <c r="AP596" t="s">
        <v>225</v>
      </c>
      <c r="AQ596">
        <v>0.13</v>
      </c>
      <c r="AR596" t="s">
        <v>277</v>
      </c>
    </row>
    <row r="597" hidden="1" spans="1:44">
      <c r="A597" t="s">
        <v>58</v>
      </c>
      <c r="B597" t="s">
        <v>25</v>
      </c>
      <c r="C597" s="209" t="s">
        <v>26</v>
      </c>
      <c r="D597" s="210">
        <v>71000121031463</v>
      </c>
      <c r="E597" s="211">
        <v>44279</v>
      </c>
      <c r="F597" t="s">
        <v>218</v>
      </c>
      <c r="G597" t="s">
        <v>272</v>
      </c>
      <c r="H597">
        <v>3</v>
      </c>
      <c r="I597" t="s">
        <v>78</v>
      </c>
      <c r="J597" t="s">
        <v>240</v>
      </c>
      <c r="K597" t="s">
        <v>221</v>
      </c>
      <c r="L597">
        <v>405</v>
      </c>
      <c r="M597" s="211">
        <v>44340</v>
      </c>
      <c r="N597" s="211">
        <v>44403</v>
      </c>
      <c r="O597" s="212" t="s">
        <v>60</v>
      </c>
      <c r="P597" t="s">
        <v>274</v>
      </c>
      <c r="S597">
        <v>0</v>
      </c>
      <c r="T597">
        <v>0</v>
      </c>
      <c r="U597">
        <v>0</v>
      </c>
      <c r="V597">
        <v>0</v>
      </c>
      <c r="W597">
        <v>0</v>
      </c>
      <c r="X597" s="140">
        <v>405</v>
      </c>
      <c r="Y597" s="209">
        <f t="shared" si="9"/>
        <v>405</v>
      </c>
      <c r="Z597">
        <v>0</v>
      </c>
      <c r="AE597"/>
      <c r="AF597"/>
      <c r="AG597" t="s">
        <v>223</v>
      </c>
      <c r="AN597" t="s">
        <v>218</v>
      </c>
      <c r="AO597" t="s">
        <v>276</v>
      </c>
      <c r="AP597" t="s">
        <v>225</v>
      </c>
      <c r="AQ597">
        <v>0.13</v>
      </c>
      <c r="AR597" t="s">
        <v>277</v>
      </c>
    </row>
    <row r="598" hidden="1" spans="1:44">
      <c r="A598" t="s">
        <v>58</v>
      </c>
      <c r="B598" t="s">
        <v>25</v>
      </c>
      <c r="C598" s="209" t="s">
        <v>26</v>
      </c>
      <c r="D598" s="210">
        <v>71000121031820</v>
      </c>
      <c r="E598" s="211">
        <v>44285</v>
      </c>
      <c r="F598" t="s">
        <v>218</v>
      </c>
      <c r="G598" t="s">
        <v>272</v>
      </c>
      <c r="H598">
        <v>1</v>
      </c>
      <c r="I598" t="s">
        <v>78</v>
      </c>
      <c r="J598" t="s">
        <v>240</v>
      </c>
      <c r="K598" t="s">
        <v>221</v>
      </c>
      <c r="L598">
        <v>388</v>
      </c>
      <c r="M598" s="211">
        <v>44333</v>
      </c>
      <c r="N598" s="211">
        <v>44403</v>
      </c>
      <c r="O598" s="212" t="s">
        <v>60</v>
      </c>
      <c r="P598" t="s">
        <v>274</v>
      </c>
      <c r="S598">
        <v>0</v>
      </c>
      <c r="T598">
        <v>0</v>
      </c>
      <c r="U598">
        <v>0</v>
      </c>
      <c r="V598">
        <v>0</v>
      </c>
      <c r="W598">
        <v>0</v>
      </c>
      <c r="X598" s="140">
        <v>388</v>
      </c>
      <c r="Y598" s="209">
        <f t="shared" si="9"/>
        <v>388</v>
      </c>
      <c r="Z598">
        <v>0</v>
      </c>
      <c r="AA598">
        <v>51000121033451</v>
      </c>
      <c r="AB598" t="s">
        <v>275</v>
      </c>
      <c r="AE598"/>
      <c r="AF598"/>
      <c r="AG598" t="s">
        <v>223</v>
      </c>
      <c r="AN598" t="s">
        <v>218</v>
      </c>
      <c r="AO598" t="s">
        <v>276</v>
      </c>
      <c r="AP598" t="s">
        <v>225</v>
      </c>
      <c r="AQ598">
        <v>0.13</v>
      </c>
      <c r="AR598" t="s">
        <v>277</v>
      </c>
    </row>
    <row r="599" hidden="1" spans="1:44">
      <c r="A599" t="s">
        <v>58</v>
      </c>
      <c r="B599" t="s">
        <v>25</v>
      </c>
      <c r="C599" s="209" t="s">
        <v>26</v>
      </c>
      <c r="D599" s="210">
        <v>71000121031820</v>
      </c>
      <c r="E599" s="211">
        <v>44285</v>
      </c>
      <c r="F599" t="s">
        <v>218</v>
      </c>
      <c r="G599" t="s">
        <v>272</v>
      </c>
      <c r="H599">
        <v>2</v>
      </c>
      <c r="I599" t="s">
        <v>78</v>
      </c>
      <c r="J599" t="s">
        <v>240</v>
      </c>
      <c r="K599" t="s">
        <v>221</v>
      </c>
      <c r="L599">
        <v>739</v>
      </c>
      <c r="M599" s="211">
        <v>44340</v>
      </c>
      <c r="N599" s="211">
        <v>44393</v>
      </c>
      <c r="O599" s="212" t="s">
        <v>60</v>
      </c>
      <c r="P599" t="s">
        <v>274</v>
      </c>
      <c r="S599">
        <v>0</v>
      </c>
      <c r="T599">
        <v>0</v>
      </c>
      <c r="U599">
        <v>0</v>
      </c>
      <c r="V599">
        <v>0</v>
      </c>
      <c r="W599">
        <v>0</v>
      </c>
      <c r="X599" s="140">
        <v>739</v>
      </c>
      <c r="Y599" s="209">
        <f t="shared" si="9"/>
        <v>739</v>
      </c>
      <c r="Z599">
        <v>0</v>
      </c>
      <c r="AA599">
        <v>51000121033451</v>
      </c>
      <c r="AB599" t="s">
        <v>275</v>
      </c>
      <c r="AE599"/>
      <c r="AF599"/>
      <c r="AG599" t="s">
        <v>223</v>
      </c>
      <c r="AN599" t="s">
        <v>218</v>
      </c>
      <c r="AO599" t="s">
        <v>276</v>
      </c>
      <c r="AP599" t="s">
        <v>225</v>
      </c>
      <c r="AQ599">
        <v>0.13</v>
      </c>
      <c r="AR599" t="s">
        <v>277</v>
      </c>
    </row>
    <row r="600" hidden="1" spans="1:44">
      <c r="A600" t="s">
        <v>58</v>
      </c>
      <c r="B600" t="s">
        <v>25</v>
      </c>
      <c r="C600" s="209" t="s">
        <v>26</v>
      </c>
      <c r="D600" s="210">
        <v>71000121040471</v>
      </c>
      <c r="E600" s="211">
        <v>44293</v>
      </c>
      <c r="F600" t="s">
        <v>218</v>
      </c>
      <c r="G600" t="s">
        <v>272</v>
      </c>
      <c r="H600">
        <v>4</v>
      </c>
      <c r="I600" t="s">
        <v>90</v>
      </c>
      <c r="J600" t="s">
        <v>269</v>
      </c>
      <c r="K600" t="s">
        <v>221</v>
      </c>
      <c r="L600">
        <v>1188</v>
      </c>
      <c r="M600" s="211">
        <v>44312</v>
      </c>
      <c r="N600" s="211">
        <v>44378</v>
      </c>
      <c r="O600" s="212" t="s">
        <v>60</v>
      </c>
      <c r="P600" t="s">
        <v>274</v>
      </c>
      <c r="S600">
        <v>684</v>
      </c>
      <c r="T600">
        <v>684</v>
      </c>
      <c r="U600">
        <v>0</v>
      </c>
      <c r="V600">
        <v>684</v>
      </c>
      <c r="W600">
        <v>0</v>
      </c>
      <c r="X600" s="140">
        <v>504</v>
      </c>
      <c r="Y600" s="209">
        <f t="shared" si="9"/>
        <v>504</v>
      </c>
      <c r="Z600">
        <v>0</v>
      </c>
      <c r="AA600">
        <v>51000121040604</v>
      </c>
      <c r="AB600" t="s">
        <v>275</v>
      </c>
      <c r="AE600">
        <v>44363</v>
      </c>
      <c r="AF600">
        <v>44363</v>
      </c>
      <c r="AG600" t="s">
        <v>223</v>
      </c>
      <c r="AN600" t="s">
        <v>218</v>
      </c>
      <c r="AO600" t="s">
        <v>276</v>
      </c>
      <c r="AP600" t="s">
        <v>225</v>
      </c>
      <c r="AQ600">
        <v>0.13</v>
      </c>
      <c r="AR600" t="s">
        <v>277</v>
      </c>
    </row>
    <row r="601" hidden="1" spans="1:44">
      <c r="A601" t="s">
        <v>58</v>
      </c>
      <c r="B601" t="s">
        <v>25</v>
      </c>
      <c r="C601" s="209" t="s">
        <v>26</v>
      </c>
      <c r="D601" s="210">
        <v>71000121040798</v>
      </c>
      <c r="E601" s="211">
        <v>44296</v>
      </c>
      <c r="F601" t="s">
        <v>218</v>
      </c>
      <c r="G601" t="s">
        <v>272</v>
      </c>
      <c r="H601">
        <v>4</v>
      </c>
      <c r="I601" t="s">
        <v>80</v>
      </c>
      <c r="J601" t="s">
        <v>220</v>
      </c>
      <c r="K601" t="s">
        <v>221</v>
      </c>
      <c r="L601">
        <v>7000</v>
      </c>
      <c r="M601" s="211">
        <v>44319</v>
      </c>
      <c r="N601" s="211">
        <v>44357</v>
      </c>
      <c r="O601" s="212" t="s">
        <v>60</v>
      </c>
      <c r="P601" t="s">
        <v>274</v>
      </c>
      <c r="S601">
        <v>3565</v>
      </c>
      <c r="T601">
        <v>0</v>
      </c>
      <c r="U601">
        <v>0</v>
      </c>
      <c r="V601">
        <v>3565</v>
      </c>
      <c r="W601">
        <v>3565</v>
      </c>
      <c r="X601" s="140">
        <v>3435</v>
      </c>
      <c r="Y601" s="209">
        <f t="shared" si="9"/>
        <v>3435</v>
      </c>
      <c r="Z601">
        <v>0</v>
      </c>
      <c r="AA601">
        <v>51000121041189</v>
      </c>
      <c r="AB601" t="s">
        <v>275</v>
      </c>
      <c r="AE601">
        <v>44321</v>
      </c>
      <c r="AF601">
        <v>44321</v>
      </c>
      <c r="AG601" t="s">
        <v>223</v>
      </c>
      <c r="AN601" t="s">
        <v>218</v>
      </c>
      <c r="AO601" t="s">
        <v>276</v>
      </c>
      <c r="AP601" t="s">
        <v>225</v>
      </c>
      <c r="AQ601">
        <v>0.13</v>
      </c>
      <c r="AR601" t="s">
        <v>277</v>
      </c>
    </row>
    <row r="602" hidden="1" spans="1:44">
      <c r="A602" t="s">
        <v>58</v>
      </c>
      <c r="B602" t="s">
        <v>25</v>
      </c>
      <c r="C602" s="209" t="s">
        <v>26</v>
      </c>
      <c r="D602" s="210">
        <v>71000121041923</v>
      </c>
      <c r="E602" s="211">
        <v>44309</v>
      </c>
      <c r="F602" t="s">
        <v>218</v>
      </c>
      <c r="G602" t="s">
        <v>272</v>
      </c>
      <c r="H602">
        <v>3</v>
      </c>
      <c r="I602" t="s">
        <v>79</v>
      </c>
      <c r="J602" t="s">
        <v>240</v>
      </c>
      <c r="K602" t="s">
        <v>221</v>
      </c>
      <c r="L602">
        <v>241</v>
      </c>
      <c r="M602" s="211">
        <v>44382</v>
      </c>
      <c r="N602" s="211">
        <v>44393</v>
      </c>
      <c r="O602" s="212" t="s">
        <v>60</v>
      </c>
      <c r="P602" t="s">
        <v>274</v>
      </c>
      <c r="S602">
        <v>0</v>
      </c>
      <c r="T602">
        <v>0</v>
      </c>
      <c r="U602">
        <v>0</v>
      </c>
      <c r="V602">
        <v>0</v>
      </c>
      <c r="W602">
        <v>0</v>
      </c>
      <c r="X602" s="140">
        <v>241</v>
      </c>
      <c r="Y602" s="209">
        <f t="shared" si="9"/>
        <v>241</v>
      </c>
      <c r="Z602">
        <v>0</v>
      </c>
      <c r="AA602">
        <v>51000121043650</v>
      </c>
      <c r="AB602" t="s">
        <v>275</v>
      </c>
      <c r="AE602"/>
      <c r="AF602"/>
      <c r="AG602" t="s">
        <v>223</v>
      </c>
      <c r="AN602" t="s">
        <v>218</v>
      </c>
      <c r="AO602" t="s">
        <v>276</v>
      </c>
      <c r="AP602" t="s">
        <v>225</v>
      </c>
      <c r="AQ602">
        <v>0.13</v>
      </c>
      <c r="AR602" t="s">
        <v>277</v>
      </c>
    </row>
    <row r="603" hidden="1" spans="1:44">
      <c r="A603" t="s">
        <v>58</v>
      </c>
      <c r="B603" t="s">
        <v>25</v>
      </c>
      <c r="C603" s="209" t="s">
        <v>26</v>
      </c>
      <c r="D603" s="210">
        <v>71000121041923</v>
      </c>
      <c r="E603" s="211">
        <v>44309</v>
      </c>
      <c r="F603" t="s">
        <v>218</v>
      </c>
      <c r="G603" t="s">
        <v>272</v>
      </c>
      <c r="H603">
        <v>4</v>
      </c>
      <c r="I603" t="s">
        <v>79</v>
      </c>
      <c r="J603" t="s">
        <v>240</v>
      </c>
      <c r="K603" t="s">
        <v>221</v>
      </c>
      <c r="L603">
        <v>294</v>
      </c>
      <c r="M603" s="211">
        <v>44389</v>
      </c>
      <c r="N603" s="211">
        <v>44403</v>
      </c>
      <c r="O603" s="212" t="s">
        <v>60</v>
      </c>
      <c r="P603" t="s">
        <v>274</v>
      </c>
      <c r="S603">
        <v>0</v>
      </c>
      <c r="T603">
        <v>0</v>
      </c>
      <c r="U603">
        <v>0</v>
      </c>
      <c r="V603">
        <v>0</v>
      </c>
      <c r="W603">
        <v>0</v>
      </c>
      <c r="X603" s="140">
        <v>294</v>
      </c>
      <c r="Y603" s="209">
        <f t="shared" si="9"/>
        <v>294</v>
      </c>
      <c r="Z603">
        <v>0</v>
      </c>
      <c r="AA603">
        <v>51000121043650</v>
      </c>
      <c r="AB603" t="s">
        <v>275</v>
      </c>
      <c r="AE603"/>
      <c r="AF603"/>
      <c r="AG603" t="s">
        <v>223</v>
      </c>
      <c r="AN603" t="s">
        <v>218</v>
      </c>
      <c r="AO603" t="s">
        <v>276</v>
      </c>
      <c r="AP603" t="s">
        <v>225</v>
      </c>
      <c r="AQ603">
        <v>0.13</v>
      </c>
      <c r="AR603" t="s">
        <v>277</v>
      </c>
    </row>
    <row r="604" hidden="1" spans="1:44">
      <c r="A604" t="s">
        <v>58</v>
      </c>
      <c r="B604" t="s">
        <v>25</v>
      </c>
      <c r="C604" s="209" t="s">
        <v>26</v>
      </c>
      <c r="D604" s="210">
        <v>71000121050190</v>
      </c>
      <c r="E604" s="211">
        <v>44321</v>
      </c>
      <c r="F604" t="s">
        <v>218</v>
      </c>
      <c r="G604" t="s">
        <v>272</v>
      </c>
      <c r="H604">
        <v>3</v>
      </c>
      <c r="I604" t="s">
        <v>85</v>
      </c>
      <c r="J604" t="s">
        <v>278</v>
      </c>
      <c r="K604" t="s">
        <v>221</v>
      </c>
      <c r="L604">
        <v>244</v>
      </c>
      <c r="M604" s="211">
        <v>44382</v>
      </c>
      <c r="N604" s="211">
        <v>44393</v>
      </c>
      <c r="O604" s="212" t="s">
        <v>60</v>
      </c>
      <c r="P604" t="s">
        <v>274</v>
      </c>
      <c r="S604">
        <v>0</v>
      </c>
      <c r="T604">
        <v>0</v>
      </c>
      <c r="U604">
        <v>0</v>
      </c>
      <c r="V604">
        <v>0</v>
      </c>
      <c r="W604">
        <v>0</v>
      </c>
      <c r="X604" s="140">
        <v>244</v>
      </c>
      <c r="Y604" s="209">
        <f t="shared" si="9"/>
        <v>244</v>
      </c>
      <c r="Z604">
        <v>0</v>
      </c>
      <c r="AA604">
        <v>51000121050197</v>
      </c>
      <c r="AB604" t="s">
        <v>275</v>
      </c>
      <c r="AE604"/>
      <c r="AF604"/>
      <c r="AG604" t="s">
        <v>223</v>
      </c>
      <c r="AN604" t="s">
        <v>218</v>
      </c>
      <c r="AO604" t="s">
        <v>276</v>
      </c>
      <c r="AP604" t="s">
        <v>225</v>
      </c>
      <c r="AQ604">
        <v>0.13</v>
      </c>
      <c r="AR604" t="s">
        <v>277</v>
      </c>
    </row>
    <row r="605" hidden="1" spans="1:44">
      <c r="A605" t="s">
        <v>58</v>
      </c>
      <c r="B605" t="s">
        <v>25</v>
      </c>
      <c r="C605" s="209" t="s">
        <v>26</v>
      </c>
      <c r="D605" s="210">
        <v>71000121050190</v>
      </c>
      <c r="E605" s="211">
        <v>44321</v>
      </c>
      <c r="F605" t="s">
        <v>218</v>
      </c>
      <c r="G605" t="s">
        <v>272</v>
      </c>
      <c r="H605">
        <v>4</v>
      </c>
      <c r="I605" t="s">
        <v>85</v>
      </c>
      <c r="J605" t="s">
        <v>278</v>
      </c>
      <c r="K605" t="s">
        <v>221</v>
      </c>
      <c r="L605">
        <v>765</v>
      </c>
      <c r="M605" s="211">
        <v>44396</v>
      </c>
      <c r="N605" s="211">
        <v>44383</v>
      </c>
      <c r="O605" s="212" t="s">
        <v>60</v>
      </c>
      <c r="P605" t="s">
        <v>274</v>
      </c>
      <c r="S605">
        <v>302</v>
      </c>
      <c r="T605">
        <v>302</v>
      </c>
      <c r="U605">
        <v>0</v>
      </c>
      <c r="V605">
        <v>302</v>
      </c>
      <c r="W605">
        <v>0</v>
      </c>
      <c r="X605" s="140">
        <v>463</v>
      </c>
      <c r="Y605" s="209">
        <f t="shared" si="9"/>
        <v>463</v>
      </c>
      <c r="Z605">
        <v>0</v>
      </c>
      <c r="AA605">
        <v>51000121050197</v>
      </c>
      <c r="AB605" t="s">
        <v>275</v>
      </c>
      <c r="AE605">
        <v>44382</v>
      </c>
      <c r="AF605">
        <v>44382</v>
      </c>
      <c r="AG605" t="s">
        <v>223</v>
      </c>
      <c r="AN605" t="s">
        <v>218</v>
      </c>
      <c r="AO605" t="s">
        <v>276</v>
      </c>
      <c r="AP605" t="s">
        <v>225</v>
      </c>
      <c r="AQ605">
        <v>0.13</v>
      </c>
      <c r="AR605" t="s">
        <v>277</v>
      </c>
    </row>
    <row r="606" hidden="1" spans="1:44">
      <c r="A606" t="s">
        <v>58</v>
      </c>
      <c r="B606" t="s">
        <v>25</v>
      </c>
      <c r="C606" s="209" t="s">
        <v>26</v>
      </c>
      <c r="D606" s="210">
        <v>71000121050797</v>
      </c>
      <c r="E606" s="211">
        <v>44327</v>
      </c>
      <c r="F606" t="s">
        <v>218</v>
      </c>
      <c r="G606" t="s">
        <v>272</v>
      </c>
      <c r="H606">
        <v>2</v>
      </c>
      <c r="I606" t="s">
        <v>78</v>
      </c>
      <c r="J606" t="s">
        <v>240</v>
      </c>
      <c r="K606" t="s">
        <v>221</v>
      </c>
      <c r="L606">
        <v>678</v>
      </c>
      <c r="M606" s="211">
        <v>44368</v>
      </c>
      <c r="N606" s="211">
        <v>44393</v>
      </c>
      <c r="O606" s="212" t="s">
        <v>60</v>
      </c>
      <c r="P606" t="s">
        <v>274</v>
      </c>
      <c r="S606">
        <v>398</v>
      </c>
      <c r="T606">
        <v>0</v>
      </c>
      <c r="U606">
        <v>0</v>
      </c>
      <c r="V606">
        <v>398</v>
      </c>
      <c r="W606">
        <v>0</v>
      </c>
      <c r="X606" s="140">
        <v>280</v>
      </c>
      <c r="Y606" s="209">
        <f t="shared" si="9"/>
        <v>280</v>
      </c>
      <c r="Z606">
        <v>0</v>
      </c>
      <c r="AA606">
        <v>51000121051692</v>
      </c>
      <c r="AB606" t="s">
        <v>275</v>
      </c>
      <c r="AE606">
        <v>44387</v>
      </c>
      <c r="AF606">
        <v>44387</v>
      </c>
      <c r="AG606" t="s">
        <v>223</v>
      </c>
      <c r="AN606" t="s">
        <v>218</v>
      </c>
      <c r="AO606" t="s">
        <v>276</v>
      </c>
      <c r="AP606" t="s">
        <v>225</v>
      </c>
      <c r="AQ606">
        <v>0.13</v>
      </c>
      <c r="AR606" t="s">
        <v>277</v>
      </c>
    </row>
    <row r="607" hidden="1" spans="1:44">
      <c r="A607" t="s">
        <v>58</v>
      </c>
      <c r="B607" t="s">
        <v>25</v>
      </c>
      <c r="C607" s="209" t="s">
        <v>26</v>
      </c>
      <c r="D607" s="210">
        <v>71000121050797</v>
      </c>
      <c r="E607" s="211">
        <v>44327</v>
      </c>
      <c r="F607" t="s">
        <v>218</v>
      </c>
      <c r="G607" t="s">
        <v>272</v>
      </c>
      <c r="H607">
        <v>4</v>
      </c>
      <c r="I607" t="s">
        <v>79</v>
      </c>
      <c r="J607" t="s">
        <v>240</v>
      </c>
      <c r="K607" t="s">
        <v>221</v>
      </c>
      <c r="L607">
        <v>203</v>
      </c>
      <c r="M607" s="211">
        <v>44382</v>
      </c>
      <c r="N607" s="211">
        <v>44393</v>
      </c>
      <c r="O607" s="212" t="s">
        <v>60</v>
      </c>
      <c r="P607" t="s">
        <v>274</v>
      </c>
      <c r="S607">
        <v>0</v>
      </c>
      <c r="T607">
        <v>0</v>
      </c>
      <c r="U607">
        <v>0</v>
      </c>
      <c r="V607">
        <v>0</v>
      </c>
      <c r="W607">
        <v>0</v>
      </c>
      <c r="X607" s="140">
        <v>203</v>
      </c>
      <c r="Y607" s="209">
        <f t="shared" si="9"/>
        <v>203</v>
      </c>
      <c r="Z607">
        <v>0</v>
      </c>
      <c r="AA607">
        <v>51000121051692</v>
      </c>
      <c r="AB607" t="s">
        <v>275</v>
      </c>
      <c r="AE607"/>
      <c r="AF607"/>
      <c r="AG607" t="s">
        <v>223</v>
      </c>
      <c r="AN607" t="s">
        <v>218</v>
      </c>
      <c r="AO607" t="s">
        <v>276</v>
      </c>
      <c r="AP607" t="s">
        <v>225</v>
      </c>
      <c r="AQ607">
        <v>0.13</v>
      </c>
      <c r="AR607" t="s">
        <v>277</v>
      </c>
    </row>
    <row r="608" hidden="1" spans="1:44">
      <c r="A608" t="s">
        <v>58</v>
      </c>
      <c r="B608" t="s">
        <v>25</v>
      </c>
      <c r="C608" s="209" t="s">
        <v>26</v>
      </c>
      <c r="D608" s="210">
        <v>71000121050797</v>
      </c>
      <c r="E608" s="211">
        <v>44327</v>
      </c>
      <c r="F608" t="s">
        <v>218</v>
      </c>
      <c r="G608" t="s">
        <v>272</v>
      </c>
      <c r="H608">
        <v>5</v>
      </c>
      <c r="I608" t="s">
        <v>79</v>
      </c>
      <c r="J608" t="s">
        <v>240</v>
      </c>
      <c r="K608" t="s">
        <v>221</v>
      </c>
      <c r="L608">
        <v>306</v>
      </c>
      <c r="M608" s="211">
        <v>44389</v>
      </c>
      <c r="N608" s="211">
        <v>44403</v>
      </c>
      <c r="O608" s="212" t="s">
        <v>60</v>
      </c>
      <c r="P608" t="s">
        <v>274</v>
      </c>
      <c r="S608">
        <v>0</v>
      </c>
      <c r="T608">
        <v>0</v>
      </c>
      <c r="U608">
        <v>0</v>
      </c>
      <c r="V608">
        <v>0</v>
      </c>
      <c r="W608">
        <v>0</v>
      </c>
      <c r="X608" s="140">
        <v>306</v>
      </c>
      <c r="Y608" s="209">
        <f t="shared" si="9"/>
        <v>306</v>
      </c>
      <c r="Z608">
        <v>0</v>
      </c>
      <c r="AA608">
        <v>51000121051692</v>
      </c>
      <c r="AB608" t="s">
        <v>275</v>
      </c>
      <c r="AE608"/>
      <c r="AF608"/>
      <c r="AG608" t="s">
        <v>223</v>
      </c>
      <c r="AN608" t="s">
        <v>218</v>
      </c>
      <c r="AO608" t="s">
        <v>276</v>
      </c>
      <c r="AP608" t="s">
        <v>225</v>
      </c>
      <c r="AQ608">
        <v>0.13</v>
      </c>
      <c r="AR608" t="s">
        <v>277</v>
      </c>
    </row>
    <row r="609" hidden="1" spans="1:44">
      <c r="A609" t="s">
        <v>58</v>
      </c>
      <c r="B609" t="s">
        <v>25</v>
      </c>
      <c r="C609" s="209" t="s">
        <v>26</v>
      </c>
      <c r="D609" s="210">
        <v>71000121051410</v>
      </c>
      <c r="E609" s="211">
        <v>44333</v>
      </c>
      <c r="F609" t="s">
        <v>218</v>
      </c>
      <c r="G609" t="s">
        <v>272</v>
      </c>
      <c r="H609">
        <v>4</v>
      </c>
      <c r="I609" t="s">
        <v>87</v>
      </c>
      <c r="J609" t="s">
        <v>279</v>
      </c>
      <c r="K609" t="s">
        <v>221</v>
      </c>
      <c r="L609">
        <v>918</v>
      </c>
      <c r="M609" s="211">
        <v>44382</v>
      </c>
      <c r="N609" s="211">
        <v>44379</v>
      </c>
      <c r="O609" s="212" t="s">
        <v>60</v>
      </c>
      <c r="P609" t="s">
        <v>274</v>
      </c>
      <c r="S609">
        <v>54</v>
      </c>
      <c r="T609">
        <v>54</v>
      </c>
      <c r="U609">
        <v>0</v>
      </c>
      <c r="V609">
        <v>54</v>
      </c>
      <c r="W609">
        <v>0</v>
      </c>
      <c r="X609" s="140">
        <v>864</v>
      </c>
      <c r="Y609" s="209">
        <f t="shared" si="9"/>
        <v>864</v>
      </c>
      <c r="Z609">
        <v>0</v>
      </c>
      <c r="AA609">
        <v>51000121052989</v>
      </c>
      <c r="AB609" t="s">
        <v>275</v>
      </c>
      <c r="AE609">
        <v>44364</v>
      </c>
      <c r="AF609">
        <v>44364</v>
      </c>
      <c r="AG609" t="s">
        <v>223</v>
      </c>
      <c r="AN609" t="s">
        <v>218</v>
      </c>
      <c r="AO609" t="s">
        <v>276</v>
      </c>
      <c r="AP609" t="s">
        <v>225</v>
      </c>
      <c r="AQ609">
        <v>0.13</v>
      </c>
      <c r="AR609" t="s">
        <v>277</v>
      </c>
    </row>
    <row r="610" hidden="1" spans="1:44">
      <c r="A610" t="s">
        <v>58</v>
      </c>
      <c r="B610" t="s">
        <v>25</v>
      </c>
      <c r="C610" s="209" t="s">
        <v>26</v>
      </c>
      <c r="D610" s="210">
        <v>71000121051410</v>
      </c>
      <c r="E610" s="211">
        <v>44333</v>
      </c>
      <c r="F610" t="s">
        <v>218</v>
      </c>
      <c r="G610" t="s">
        <v>272</v>
      </c>
      <c r="H610">
        <v>9</v>
      </c>
      <c r="I610" t="s">
        <v>83</v>
      </c>
      <c r="J610" t="s">
        <v>278</v>
      </c>
      <c r="K610" t="s">
        <v>221</v>
      </c>
      <c r="L610">
        <v>90</v>
      </c>
      <c r="M610" s="211">
        <v>44354</v>
      </c>
      <c r="N610" s="211">
        <v>44393</v>
      </c>
      <c r="O610" s="212" t="s">
        <v>60</v>
      </c>
      <c r="P610" t="s">
        <v>274</v>
      </c>
      <c r="S610">
        <v>0</v>
      </c>
      <c r="T610">
        <v>0</v>
      </c>
      <c r="U610">
        <v>0</v>
      </c>
      <c r="V610">
        <v>0</v>
      </c>
      <c r="W610">
        <v>0</v>
      </c>
      <c r="X610" s="140">
        <v>90</v>
      </c>
      <c r="Y610" s="209">
        <f t="shared" si="9"/>
        <v>90</v>
      </c>
      <c r="Z610">
        <v>0</v>
      </c>
      <c r="AA610">
        <v>51000121052989</v>
      </c>
      <c r="AB610" t="s">
        <v>275</v>
      </c>
      <c r="AE610"/>
      <c r="AF610"/>
      <c r="AG610" t="s">
        <v>223</v>
      </c>
      <c r="AN610" t="s">
        <v>218</v>
      </c>
      <c r="AO610" t="s">
        <v>276</v>
      </c>
      <c r="AP610" t="s">
        <v>225</v>
      </c>
      <c r="AQ610">
        <v>0.13</v>
      </c>
      <c r="AR610" t="s">
        <v>277</v>
      </c>
    </row>
    <row r="611" hidden="1" spans="1:44">
      <c r="A611" t="s">
        <v>58</v>
      </c>
      <c r="B611" t="s">
        <v>25</v>
      </c>
      <c r="C611" s="209" t="s">
        <v>26</v>
      </c>
      <c r="D611" s="210">
        <v>71000121051410</v>
      </c>
      <c r="E611" s="211">
        <v>44333</v>
      </c>
      <c r="F611" t="s">
        <v>218</v>
      </c>
      <c r="G611" t="s">
        <v>272</v>
      </c>
      <c r="H611">
        <v>15</v>
      </c>
      <c r="I611" t="s">
        <v>86</v>
      </c>
      <c r="J611" t="s">
        <v>240</v>
      </c>
      <c r="K611" t="s">
        <v>221</v>
      </c>
      <c r="L611">
        <v>96</v>
      </c>
      <c r="M611" s="211">
        <v>44354</v>
      </c>
      <c r="N611" s="211">
        <v>44393</v>
      </c>
      <c r="O611" s="212" t="s">
        <v>60</v>
      </c>
      <c r="P611" t="s">
        <v>274</v>
      </c>
      <c r="S611">
        <v>0</v>
      </c>
      <c r="T611">
        <v>0</v>
      </c>
      <c r="U611">
        <v>0</v>
      </c>
      <c r="V611">
        <v>0</v>
      </c>
      <c r="W611">
        <v>0</v>
      </c>
      <c r="X611" s="140">
        <v>96</v>
      </c>
      <c r="Y611" s="209">
        <f t="shared" si="9"/>
        <v>96</v>
      </c>
      <c r="Z611">
        <v>0</v>
      </c>
      <c r="AA611">
        <v>51000121052989</v>
      </c>
      <c r="AB611" t="s">
        <v>275</v>
      </c>
      <c r="AE611"/>
      <c r="AF611"/>
      <c r="AG611" t="s">
        <v>223</v>
      </c>
      <c r="AN611" t="s">
        <v>218</v>
      </c>
      <c r="AO611" t="s">
        <v>276</v>
      </c>
      <c r="AP611" t="s">
        <v>225</v>
      </c>
      <c r="AQ611">
        <v>0.13</v>
      </c>
      <c r="AR611" t="s">
        <v>277</v>
      </c>
    </row>
    <row r="612" hidden="1" spans="1:44">
      <c r="A612" t="s">
        <v>58</v>
      </c>
      <c r="B612" t="s">
        <v>25</v>
      </c>
      <c r="C612" s="209" t="s">
        <v>26</v>
      </c>
      <c r="D612" s="210">
        <v>71000121051831</v>
      </c>
      <c r="E612" s="211">
        <v>44336</v>
      </c>
      <c r="F612" t="s">
        <v>218</v>
      </c>
      <c r="G612" t="s">
        <v>272</v>
      </c>
      <c r="H612">
        <v>2</v>
      </c>
      <c r="I612" t="s">
        <v>83</v>
      </c>
      <c r="J612" t="s">
        <v>278</v>
      </c>
      <c r="K612" t="s">
        <v>221</v>
      </c>
      <c r="L612">
        <v>792</v>
      </c>
      <c r="M612" s="211">
        <v>44368</v>
      </c>
      <c r="N612" s="211">
        <v>44393</v>
      </c>
      <c r="O612" s="212" t="s">
        <v>60</v>
      </c>
      <c r="P612" t="s">
        <v>274</v>
      </c>
      <c r="S612">
        <v>0</v>
      </c>
      <c r="T612">
        <v>0</v>
      </c>
      <c r="U612">
        <v>0</v>
      </c>
      <c r="V612">
        <v>0</v>
      </c>
      <c r="W612">
        <v>0</v>
      </c>
      <c r="X612" s="140">
        <v>792</v>
      </c>
      <c r="Y612" s="209">
        <f t="shared" si="9"/>
        <v>792</v>
      </c>
      <c r="Z612">
        <v>0</v>
      </c>
      <c r="AA612">
        <v>51000121053800</v>
      </c>
      <c r="AB612" t="s">
        <v>275</v>
      </c>
      <c r="AE612"/>
      <c r="AF612"/>
      <c r="AG612" t="s">
        <v>223</v>
      </c>
      <c r="AN612" t="s">
        <v>218</v>
      </c>
      <c r="AO612" t="s">
        <v>276</v>
      </c>
      <c r="AP612" t="s">
        <v>225</v>
      </c>
      <c r="AQ612">
        <v>0.13</v>
      </c>
      <c r="AR612" t="s">
        <v>277</v>
      </c>
    </row>
    <row r="613" hidden="1" spans="1:44">
      <c r="A613" t="s">
        <v>58</v>
      </c>
      <c r="B613" t="s">
        <v>25</v>
      </c>
      <c r="C613" s="209" t="s">
        <v>26</v>
      </c>
      <c r="D613" s="210">
        <v>71000121051831</v>
      </c>
      <c r="E613" s="211">
        <v>44336</v>
      </c>
      <c r="F613" t="s">
        <v>218</v>
      </c>
      <c r="G613" t="s">
        <v>272</v>
      </c>
      <c r="H613">
        <v>3</v>
      </c>
      <c r="I613" t="s">
        <v>85</v>
      </c>
      <c r="J613" t="s">
        <v>278</v>
      </c>
      <c r="K613" t="s">
        <v>221</v>
      </c>
      <c r="L613">
        <v>567</v>
      </c>
      <c r="M613" s="211">
        <v>44396</v>
      </c>
      <c r="N613" s="211">
        <v>44396</v>
      </c>
      <c r="O613" s="212" t="s">
        <v>60</v>
      </c>
      <c r="P613" t="s">
        <v>274</v>
      </c>
      <c r="S613">
        <v>0</v>
      </c>
      <c r="T613">
        <v>0</v>
      </c>
      <c r="U613">
        <v>0</v>
      </c>
      <c r="V613">
        <v>0</v>
      </c>
      <c r="W613">
        <v>0</v>
      </c>
      <c r="X613" s="140">
        <v>567</v>
      </c>
      <c r="Y613" s="209">
        <f t="shared" si="9"/>
        <v>567</v>
      </c>
      <c r="Z613">
        <v>0</v>
      </c>
      <c r="AA613">
        <v>51000121053800</v>
      </c>
      <c r="AB613" t="s">
        <v>275</v>
      </c>
      <c r="AE613"/>
      <c r="AF613"/>
      <c r="AG613" t="s">
        <v>223</v>
      </c>
      <c r="AN613" t="s">
        <v>218</v>
      </c>
      <c r="AO613" t="s">
        <v>276</v>
      </c>
      <c r="AP613" t="s">
        <v>225</v>
      </c>
      <c r="AQ613">
        <v>0.13</v>
      </c>
      <c r="AR613" t="s">
        <v>277</v>
      </c>
    </row>
    <row r="614" hidden="1" spans="1:44">
      <c r="A614" t="s">
        <v>58</v>
      </c>
      <c r="B614" t="s">
        <v>25</v>
      </c>
      <c r="C614" s="209" t="s">
        <v>26</v>
      </c>
      <c r="D614" s="210">
        <v>71000121052109</v>
      </c>
      <c r="E614" s="211">
        <v>44341</v>
      </c>
      <c r="F614" t="s">
        <v>218</v>
      </c>
      <c r="G614" t="s">
        <v>272</v>
      </c>
      <c r="H614">
        <v>5</v>
      </c>
      <c r="I614" t="s">
        <v>81</v>
      </c>
      <c r="J614" t="s">
        <v>280</v>
      </c>
      <c r="K614" t="s">
        <v>221</v>
      </c>
      <c r="L614">
        <v>4162</v>
      </c>
      <c r="M614" s="211">
        <v>44361</v>
      </c>
      <c r="N614" s="211">
        <v>44379</v>
      </c>
      <c r="O614" s="212" t="s">
        <v>60</v>
      </c>
      <c r="P614" t="s">
        <v>274</v>
      </c>
      <c r="S614">
        <v>1597</v>
      </c>
      <c r="T614">
        <v>1597</v>
      </c>
      <c r="U614">
        <v>0</v>
      </c>
      <c r="V614">
        <v>1597</v>
      </c>
      <c r="W614">
        <v>0</v>
      </c>
      <c r="X614" s="140">
        <v>2565</v>
      </c>
      <c r="Y614" s="209">
        <f t="shared" si="9"/>
        <v>2565</v>
      </c>
      <c r="Z614">
        <v>0</v>
      </c>
      <c r="AA614">
        <v>51000121054237</v>
      </c>
      <c r="AB614" t="s">
        <v>275</v>
      </c>
      <c r="AE614">
        <v>44377</v>
      </c>
      <c r="AF614">
        <v>44382</v>
      </c>
      <c r="AG614" t="s">
        <v>223</v>
      </c>
      <c r="AN614" t="s">
        <v>218</v>
      </c>
      <c r="AO614" t="s">
        <v>276</v>
      </c>
      <c r="AP614" t="s">
        <v>225</v>
      </c>
      <c r="AQ614">
        <v>0.13</v>
      </c>
      <c r="AR614" t="s">
        <v>277</v>
      </c>
    </row>
    <row r="615" hidden="1" spans="1:44">
      <c r="A615" t="s">
        <v>58</v>
      </c>
      <c r="B615" t="s">
        <v>25</v>
      </c>
      <c r="C615" s="209" t="s">
        <v>26</v>
      </c>
      <c r="D615" s="210">
        <v>71000121052109</v>
      </c>
      <c r="E615" s="211">
        <v>44341</v>
      </c>
      <c r="F615" t="s">
        <v>218</v>
      </c>
      <c r="G615" t="s">
        <v>272</v>
      </c>
      <c r="H615">
        <v>6</v>
      </c>
      <c r="I615" t="s">
        <v>81</v>
      </c>
      <c r="J615" t="s">
        <v>280</v>
      </c>
      <c r="K615" t="s">
        <v>221</v>
      </c>
      <c r="L615">
        <v>3179</v>
      </c>
      <c r="M615" s="211">
        <v>44368</v>
      </c>
      <c r="N615" s="211">
        <v>44393</v>
      </c>
      <c r="O615" s="212" t="s">
        <v>60</v>
      </c>
      <c r="P615" t="s">
        <v>274</v>
      </c>
      <c r="S615">
        <v>0</v>
      </c>
      <c r="T615">
        <v>0</v>
      </c>
      <c r="U615">
        <v>0</v>
      </c>
      <c r="V615">
        <v>0</v>
      </c>
      <c r="W615">
        <v>0</v>
      </c>
      <c r="X615" s="140">
        <v>3179</v>
      </c>
      <c r="Y615" s="209">
        <f t="shared" si="9"/>
        <v>3179</v>
      </c>
      <c r="Z615">
        <v>0</v>
      </c>
      <c r="AA615">
        <v>51000121054237</v>
      </c>
      <c r="AB615" t="s">
        <v>275</v>
      </c>
      <c r="AE615"/>
      <c r="AF615"/>
      <c r="AG615" t="s">
        <v>223</v>
      </c>
      <c r="AN615" t="s">
        <v>218</v>
      </c>
      <c r="AO615" t="s">
        <v>276</v>
      </c>
      <c r="AP615" t="s">
        <v>225</v>
      </c>
      <c r="AQ615">
        <v>0.13</v>
      </c>
      <c r="AR615" t="s">
        <v>277</v>
      </c>
    </row>
    <row r="616" hidden="1" spans="1:44">
      <c r="A616" t="s">
        <v>58</v>
      </c>
      <c r="B616" t="s">
        <v>25</v>
      </c>
      <c r="C616" s="209" t="s">
        <v>26</v>
      </c>
      <c r="D616" s="210">
        <v>71000121052109</v>
      </c>
      <c r="E616" s="211">
        <v>44341</v>
      </c>
      <c r="F616" t="s">
        <v>218</v>
      </c>
      <c r="G616" t="s">
        <v>272</v>
      </c>
      <c r="H616">
        <v>7</v>
      </c>
      <c r="I616" t="s">
        <v>81</v>
      </c>
      <c r="J616" t="s">
        <v>280</v>
      </c>
      <c r="K616" t="s">
        <v>221</v>
      </c>
      <c r="L616">
        <v>816</v>
      </c>
      <c r="M616" s="211">
        <v>44382</v>
      </c>
      <c r="N616" s="211">
        <v>44393</v>
      </c>
      <c r="O616" s="212" t="s">
        <v>60</v>
      </c>
      <c r="P616" t="s">
        <v>274</v>
      </c>
      <c r="S616">
        <v>0</v>
      </c>
      <c r="T616">
        <v>0</v>
      </c>
      <c r="U616">
        <v>0</v>
      </c>
      <c r="V616">
        <v>0</v>
      </c>
      <c r="W616">
        <v>0</v>
      </c>
      <c r="X616" s="140">
        <v>816</v>
      </c>
      <c r="Y616" s="209">
        <f t="shared" si="9"/>
        <v>816</v>
      </c>
      <c r="Z616">
        <v>0</v>
      </c>
      <c r="AA616">
        <v>51000121054237</v>
      </c>
      <c r="AB616" t="s">
        <v>275</v>
      </c>
      <c r="AE616"/>
      <c r="AF616"/>
      <c r="AG616" t="s">
        <v>223</v>
      </c>
      <c r="AN616" t="s">
        <v>218</v>
      </c>
      <c r="AO616" t="s">
        <v>276</v>
      </c>
      <c r="AP616" t="s">
        <v>225</v>
      </c>
      <c r="AQ616">
        <v>0.13</v>
      </c>
      <c r="AR616" t="s">
        <v>277</v>
      </c>
    </row>
    <row r="617" hidden="1" spans="1:44">
      <c r="A617" t="s">
        <v>58</v>
      </c>
      <c r="B617" t="s">
        <v>25</v>
      </c>
      <c r="C617" s="209" t="s">
        <v>26</v>
      </c>
      <c r="D617" s="210">
        <v>71000121052109</v>
      </c>
      <c r="E617" s="211">
        <v>44341</v>
      </c>
      <c r="F617" t="s">
        <v>218</v>
      </c>
      <c r="G617" t="s">
        <v>272</v>
      </c>
      <c r="H617">
        <v>8</v>
      </c>
      <c r="I617" t="s">
        <v>83</v>
      </c>
      <c r="J617" t="s">
        <v>278</v>
      </c>
      <c r="K617" t="s">
        <v>221</v>
      </c>
      <c r="L617">
        <v>1982</v>
      </c>
      <c r="M617" s="211">
        <v>44368</v>
      </c>
      <c r="N617" s="211">
        <v>44393</v>
      </c>
      <c r="O617" s="212" t="s">
        <v>60</v>
      </c>
      <c r="P617" t="s">
        <v>274</v>
      </c>
      <c r="S617">
        <v>0</v>
      </c>
      <c r="T617">
        <v>0</v>
      </c>
      <c r="U617">
        <v>0</v>
      </c>
      <c r="V617">
        <v>0</v>
      </c>
      <c r="W617">
        <v>0</v>
      </c>
      <c r="X617" s="140">
        <v>1982</v>
      </c>
      <c r="Y617" s="209">
        <f t="shared" si="9"/>
        <v>1982</v>
      </c>
      <c r="Z617">
        <v>0</v>
      </c>
      <c r="AA617">
        <v>51000121054237</v>
      </c>
      <c r="AB617" t="s">
        <v>275</v>
      </c>
      <c r="AE617"/>
      <c r="AF617"/>
      <c r="AG617" t="s">
        <v>223</v>
      </c>
      <c r="AN617" t="s">
        <v>218</v>
      </c>
      <c r="AO617" t="s">
        <v>276</v>
      </c>
      <c r="AP617" t="s">
        <v>225</v>
      </c>
      <c r="AQ617">
        <v>0.13</v>
      </c>
      <c r="AR617" t="s">
        <v>277</v>
      </c>
    </row>
    <row r="618" hidden="1" spans="1:44">
      <c r="A618" t="s">
        <v>58</v>
      </c>
      <c r="B618" t="s">
        <v>25</v>
      </c>
      <c r="C618" s="209" t="s">
        <v>26</v>
      </c>
      <c r="D618" s="210">
        <v>71000121052109</v>
      </c>
      <c r="E618" s="211">
        <v>44341</v>
      </c>
      <c r="F618" t="s">
        <v>218</v>
      </c>
      <c r="G618" t="s">
        <v>272</v>
      </c>
      <c r="H618">
        <v>9</v>
      </c>
      <c r="I618" t="s">
        <v>85</v>
      </c>
      <c r="J618" t="s">
        <v>278</v>
      </c>
      <c r="K618" t="s">
        <v>221</v>
      </c>
      <c r="L618">
        <v>146</v>
      </c>
      <c r="M618" s="211">
        <v>44396</v>
      </c>
      <c r="N618" s="211">
        <v>44396</v>
      </c>
      <c r="O618" s="212" t="s">
        <v>60</v>
      </c>
      <c r="P618" t="s">
        <v>274</v>
      </c>
      <c r="S618">
        <v>0</v>
      </c>
      <c r="T618">
        <v>0</v>
      </c>
      <c r="U618">
        <v>0</v>
      </c>
      <c r="V618">
        <v>0</v>
      </c>
      <c r="W618">
        <v>0</v>
      </c>
      <c r="X618" s="140">
        <v>146</v>
      </c>
      <c r="Y618" s="209">
        <f t="shared" si="9"/>
        <v>146</v>
      </c>
      <c r="Z618">
        <v>0</v>
      </c>
      <c r="AA618">
        <v>51000121054237</v>
      </c>
      <c r="AB618" t="s">
        <v>275</v>
      </c>
      <c r="AE618"/>
      <c r="AF618"/>
      <c r="AG618" t="s">
        <v>223</v>
      </c>
      <c r="AN618" t="s">
        <v>218</v>
      </c>
      <c r="AO618" t="s">
        <v>276</v>
      </c>
      <c r="AP618" t="s">
        <v>225</v>
      </c>
      <c r="AQ618">
        <v>0.13</v>
      </c>
      <c r="AR618" t="s">
        <v>277</v>
      </c>
    </row>
    <row r="619" hidden="1" spans="1:44">
      <c r="A619" t="s">
        <v>58</v>
      </c>
      <c r="B619" t="s">
        <v>25</v>
      </c>
      <c r="C619" s="209" t="s">
        <v>26</v>
      </c>
      <c r="D619" s="210">
        <v>71000121052453</v>
      </c>
      <c r="E619" s="211">
        <v>44344</v>
      </c>
      <c r="F619" t="s">
        <v>218</v>
      </c>
      <c r="G619" t="s">
        <v>272</v>
      </c>
      <c r="H619">
        <v>3</v>
      </c>
      <c r="I619" t="s">
        <v>76</v>
      </c>
      <c r="J619" t="s">
        <v>281</v>
      </c>
      <c r="K619" t="s">
        <v>221</v>
      </c>
      <c r="L619">
        <v>396</v>
      </c>
      <c r="M619" s="211">
        <v>44368</v>
      </c>
      <c r="N619" s="211">
        <v>44406</v>
      </c>
      <c r="O619" s="212" t="s">
        <v>60</v>
      </c>
      <c r="P619" t="s">
        <v>274</v>
      </c>
      <c r="S619">
        <v>340</v>
      </c>
      <c r="T619">
        <v>340</v>
      </c>
      <c r="U619">
        <v>0</v>
      </c>
      <c r="V619">
        <v>340</v>
      </c>
      <c r="W619">
        <v>0</v>
      </c>
      <c r="X619" s="140">
        <v>56</v>
      </c>
      <c r="Y619" s="209">
        <f t="shared" si="9"/>
        <v>56</v>
      </c>
      <c r="Z619">
        <v>0</v>
      </c>
      <c r="AA619">
        <v>51000121055045</v>
      </c>
      <c r="AB619" t="s">
        <v>275</v>
      </c>
      <c r="AE619">
        <v>44347</v>
      </c>
      <c r="AF619">
        <v>44347</v>
      </c>
      <c r="AG619" t="s">
        <v>223</v>
      </c>
      <c r="AN619" t="s">
        <v>218</v>
      </c>
      <c r="AO619" t="s">
        <v>276</v>
      </c>
      <c r="AP619" t="s">
        <v>225</v>
      </c>
      <c r="AQ619">
        <v>0.13</v>
      </c>
      <c r="AR619" t="s">
        <v>277</v>
      </c>
    </row>
    <row r="620" hidden="1" spans="1:44">
      <c r="A620" t="s">
        <v>58</v>
      </c>
      <c r="B620" t="s">
        <v>25</v>
      </c>
      <c r="C620" s="209" t="s">
        <v>26</v>
      </c>
      <c r="D620" s="210">
        <v>71000121052453</v>
      </c>
      <c r="E620" s="211">
        <v>44344</v>
      </c>
      <c r="F620" t="s">
        <v>218</v>
      </c>
      <c r="G620" t="s">
        <v>272</v>
      </c>
      <c r="H620">
        <v>4</v>
      </c>
      <c r="I620" t="s">
        <v>84</v>
      </c>
      <c r="J620" t="s">
        <v>240</v>
      </c>
      <c r="K620" t="s">
        <v>221</v>
      </c>
      <c r="L620">
        <v>67</v>
      </c>
      <c r="M620" s="211">
        <v>44403</v>
      </c>
      <c r="N620" s="211">
        <v>44369</v>
      </c>
      <c r="O620" s="212" t="s">
        <v>60</v>
      </c>
      <c r="P620" t="s">
        <v>274</v>
      </c>
      <c r="S620">
        <v>46</v>
      </c>
      <c r="T620">
        <v>46</v>
      </c>
      <c r="U620">
        <v>0</v>
      </c>
      <c r="V620">
        <v>46</v>
      </c>
      <c r="W620">
        <v>0</v>
      </c>
      <c r="X620" s="140">
        <v>21</v>
      </c>
      <c r="Y620" s="209">
        <f t="shared" si="9"/>
        <v>21</v>
      </c>
      <c r="Z620">
        <v>0</v>
      </c>
      <c r="AA620">
        <v>51000121055045</v>
      </c>
      <c r="AB620" t="s">
        <v>275</v>
      </c>
      <c r="AE620">
        <v>44369</v>
      </c>
      <c r="AF620">
        <v>44369</v>
      </c>
      <c r="AG620" t="s">
        <v>223</v>
      </c>
      <c r="AN620" t="s">
        <v>218</v>
      </c>
      <c r="AO620" t="s">
        <v>276</v>
      </c>
      <c r="AP620" t="s">
        <v>225</v>
      </c>
      <c r="AQ620">
        <v>0.13</v>
      </c>
      <c r="AR620" t="s">
        <v>277</v>
      </c>
    </row>
    <row r="621" hidden="1" spans="1:44">
      <c r="A621" t="s">
        <v>58</v>
      </c>
      <c r="B621" t="s">
        <v>25</v>
      </c>
      <c r="C621" s="209" t="s">
        <v>26</v>
      </c>
      <c r="D621" s="210">
        <v>71000121052453</v>
      </c>
      <c r="E621" s="211">
        <v>44344</v>
      </c>
      <c r="F621" t="s">
        <v>218</v>
      </c>
      <c r="G621" t="s">
        <v>272</v>
      </c>
      <c r="H621">
        <v>6</v>
      </c>
      <c r="I621" t="s">
        <v>85</v>
      </c>
      <c r="J621" t="s">
        <v>278</v>
      </c>
      <c r="K621" t="s">
        <v>221</v>
      </c>
      <c r="L621">
        <v>61</v>
      </c>
      <c r="M621" s="211">
        <v>44396</v>
      </c>
      <c r="N621" s="211">
        <v>44396</v>
      </c>
      <c r="O621" s="212" t="s">
        <v>60</v>
      </c>
      <c r="P621" t="s">
        <v>274</v>
      </c>
      <c r="S621">
        <v>0</v>
      </c>
      <c r="T621">
        <v>0</v>
      </c>
      <c r="U621">
        <v>0</v>
      </c>
      <c r="V621">
        <v>0</v>
      </c>
      <c r="W621">
        <v>0</v>
      </c>
      <c r="X621" s="140">
        <v>61</v>
      </c>
      <c r="Y621" s="209">
        <f t="shared" si="9"/>
        <v>61</v>
      </c>
      <c r="Z621">
        <v>0</v>
      </c>
      <c r="AA621">
        <v>51000121055045</v>
      </c>
      <c r="AB621" t="s">
        <v>275</v>
      </c>
      <c r="AE621"/>
      <c r="AF621"/>
      <c r="AG621" t="s">
        <v>223</v>
      </c>
      <c r="AN621" t="s">
        <v>218</v>
      </c>
      <c r="AO621" t="s">
        <v>276</v>
      </c>
      <c r="AP621" t="s">
        <v>225</v>
      </c>
      <c r="AQ621">
        <v>0.13</v>
      </c>
      <c r="AR621" t="s">
        <v>277</v>
      </c>
    </row>
    <row r="622" hidden="1" spans="1:44">
      <c r="A622" t="s">
        <v>58</v>
      </c>
      <c r="B622" t="s">
        <v>25</v>
      </c>
      <c r="C622" s="209" t="s">
        <v>26</v>
      </c>
      <c r="D622" s="210">
        <v>71000121052652</v>
      </c>
      <c r="E622" s="211">
        <v>44347</v>
      </c>
      <c r="F622" t="s">
        <v>218</v>
      </c>
      <c r="G622" t="s">
        <v>272</v>
      </c>
      <c r="H622">
        <v>5</v>
      </c>
      <c r="I622" t="s">
        <v>87</v>
      </c>
      <c r="J622" t="s">
        <v>279</v>
      </c>
      <c r="K622" t="s">
        <v>221</v>
      </c>
      <c r="L622">
        <v>815</v>
      </c>
      <c r="M622" s="211">
        <v>44389</v>
      </c>
      <c r="N622" s="211">
        <v>44379</v>
      </c>
      <c r="O622" s="212" t="s">
        <v>60</v>
      </c>
      <c r="P622" t="s">
        <v>274</v>
      </c>
      <c r="S622">
        <v>774</v>
      </c>
      <c r="T622">
        <v>774</v>
      </c>
      <c r="U622">
        <v>0</v>
      </c>
      <c r="V622">
        <v>774</v>
      </c>
      <c r="W622">
        <v>0</v>
      </c>
      <c r="X622" s="140">
        <v>41</v>
      </c>
      <c r="Y622" s="209">
        <f t="shared" si="9"/>
        <v>41</v>
      </c>
      <c r="Z622">
        <v>0</v>
      </c>
      <c r="AA622">
        <v>51000121055562</v>
      </c>
      <c r="AB622" t="s">
        <v>275</v>
      </c>
      <c r="AE622">
        <v>44377</v>
      </c>
      <c r="AF622">
        <v>44382</v>
      </c>
      <c r="AG622" t="s">
        <v>223</v>
      </c>
      <c r="AN622" t="s">
        <v>218</v>
      </c>
      <c r="AO622" t="s">
        <v>276</v>
      </c>
      <c r="AP622" t="s">
        <v>225</v>
      </c>
      <c r="AQ622">
        <v>0.13</v>
      </c>
      <c r="AR622" t="s">
        <v>277</v>
      </c>
    </row>
    <row r="623" hidden="1" spans="1:44">
      <c r="A623" t="s">
        <v>58</v>
      </c>
      <c r="B623" t="s">
        <v>25</v>
      </c>
      <c r="C623" s="209" t="s">
        <v>26</v>
      </c>
      <c r="D623" s="210">
        <v>71000121052652</v>
      </c>
      <c r="E623" s="211">
        <v>44347</v>
      </c>
      <c r="F623" t="s">
        <v>218</v>
      </c>
      <c r="G623" t="s">
        <v>272</v>
      </c>
      <c r="H623">
        <v>7</v>
      </c>
      <c r="I623" t="s">
        <v>88</v>
      </c>
      <c r="J623" t="s">
        <v>229</v>
      </c>
      <c r="K623" t="s">
        <v>221</v>
      </c>
      <c r="L623">
        <v>204</v>
      </c>
      <c r="M623" s="211">
        <v>44389</v>
      </c>
      <c r="N623" s="211">
        <v>44383</v>
      </c>
      <c r="O623" s="212" t="s">
        <v>60</v>
      </c>
      <c r="P623" t="s">
        <v>274</v>
      </c>
      <c r="S623">
        <v>115</v>
      </c>
      <c r="T623">
        <v>115</v>
      </c>
      <c r="U623">
        <v>0</v>
      </c>
      <c r="V623">
        <v>115</v>
      </c>
      <c r="W623">
        <v>0</v>
      </c>
      <c r="X623" s="140">
        <v>89</v>
      </c>
      <c r="Y623" s="209">
        <f t="shared" si="9"/>
        <v>89</v>
      </c>
      <c r="Z623">
        <v>0</v>
      </c>
      <c r="AA623">
        <v>51000121055562</v>
      </c>
      <c r="AB623" t="s">
        <v>275</v>
      </c>
      <c r="AE623">
        <v>44382</v>
      </c>
      <c r="AF623">
        <v>44382</v>
      </c>
      <c r="AG623" t="s">
        <v>223</v>
      </c>
      <c r="AN623" t="s">
        <v>218</v>
      </c>
      <c r="AO623" t="s">
        <v>276</v>
      </c>
      <c r="AP623" t="s">
        <v>225</v>
      </c>
      <c r="AQ623">
        <v>0.13</v>
      </c>
      <c r="AR623" t="s">
        <v>277</v>
      </c>
    </row>
    <row r="624" hidden="1" spans="1:44">
      <c r="A624" t="s">
        <v>58</v>
      </c>
      <c r="B624" t="s">
        <v>25</v>
      </c>
      <c r="C624" s="209" t="s">
        <v>26</v>
      </c>
      <c r="D624" s="210">
        <v>71000121052652</v>
      </c>
      <c r="E624" s="211">
        <v>44347</v>
      </c>
      <c r="F624" t="s">
        <v>218</v>
      </c>
      <c r="G624" t="s">
        <v>272</v>
      </c>
      <c r="H624">
        <v>8</v>
      </c>
      <c r="I624" t="s">
        <v>83</v>
      </c>
      <c r="J624" t="s">
        <v>278</v>
      </c>
      <c r="K624" t="s">
        <v>221</v>
      </c>
      <c r="L624">
        <v>147</v>
      </c>
      <c r="M624" s="211">
        <v>44382</v>
      </c>
      <c r="N624" s="211">
        <v>44393</v>
      </c>
      <c r="O624" s="212" t="s">
        <v>60</v>
      </c>
      <c r="P624" t="s">
        <v>274</v>
      </c>
      <c r="S624">
        <v>0</v>
      </c>
      <c r="T624">
        <v>0</v>
      </c>
      <c r="U624">
        <v>0</v>
      </c>
      <c r="V624">
        <v>0</v>
      </c>
      <c r="W624">
        <v>0</v>
      </c>
      <c r="X624" s="140">
        <v>147</v>
      </c>
      <c r="Y624" s="209">
        <f t="shared" si="9"/>
        <v>147</v>
      </c>
      <c r="Z624">
        <v>0</v>
      </c>
      <c r="AA624">
        <v>51000121055562</v>
      </c>
      <c r="AB624" t="s">
        <v>275</v>
      </c>
      <c r="AE624"/>
      <c r="AF624"/>
      <c r="AG624" t="s">
        <v>223</v>
      </c>
      <c r="AN624" t="s">
        <v>218</v>
      </c>
      <c r="AO624" t="s">
        <v>276</v>
      </c>
      <c r="AP624" t="s">
        <v>225</v>
      </c>
      <c r="AQ624">
        <v>0.13</v>
      </c>
      <c r="AR624" t="s">
        <v>277</v>
      </c>
    </row>
    <row r="625" hidden="1" spans="1:44">
      <c r="A625" t="s">
        <v>58</v>
      </c>
      <c r="B625" t="s">
        <v>25</v>
      </c>
      <c r="C625" s="209" t="s">
        <v>26</v>
      </c>
      <c r="D625" s="210">
        <v>71000121052652</v>
      </c>
      <c r="E625" s="211">
        <v>44347</v>
      </c>
      <c r="F625" t="s">
        <v>218</v>
      </c>
      <c r="G625" t="s">
        <v>272</v>
      </c>
      <c r="H625">
        <v>9</v>
      </c>
      <c r="I625" t="s">
        <v>83</v>
      </c>
      <c r="J625" t="s">
        <v>278</v>
      </c>
      <c r="K625" t="s">
        <v>221</v>
      </c>
      <c r="L625">
        <v>635</v>
      </c>
      <c r="M625" s="211">
        <v>44389</v>
      </c>
      <c r="N625" s="211">
        <v>44403</v>
      </c>
      <c r="O625" s="212" t="s">
        <v>60</v>
      </c>
      <c r="P625" t="s">
        <v>274</v>
      </c>
      <c r="S625">
        <v>0</v>
      </c>
      <c r="T625">
        <v>0</v>
      </c>
      <c r="U625">
        <v>0</v>
      </c>
      <c r="V625">
        <v>0</v>
      </c>
      <c r="W625">
        <v>0</v>
      </c>
      <c r="X625" s="140">
        <v>635</v>
      </c>
      <c r="Y625" s="209">
        <f t="shared" si="9"/>
        <v>635</v>
      </c>
      <c r="Z625">
        <v>0</v>
      </c>
      <c r="AA625">
        <v>51000121055562</v>
      </c>
      <c r="AB625" t="s">
        <v>275</v>
      </c>
      <c r="AE625"/>
      <c r="AF625"/>
      <c r="AG625" t="s">
        <v>223</v>
      </c>
      <c r="AN625" t="s">
        <v>218</v>
      </c>
      <c r="AO625" t="s">
        <v>276</v>
      </c>
      <c r="AP625" t="s">
        <v>225</v>
      </c>
      <c r="AQ625">
        <v>0.13</v>
      </c>
      <c r="AR625" t="s">
        <v>277</v>
      </c>
    </row>
    <row r="626" hidden="1" spans="1:44">
      <c r="A626" t="s">
        <v>58</v>
      </c>
      <c r="B626" t="s">
        <v>25</v>
      </c>
      <c r="C626" s="209" t="s">
        <v>26</v>
      </c>
      <c r="D626" s="210">
        <v>71000121052652</v>
      </c>
      <c r="E626" s="211">
        <v>44347</v>
      </c>
      <c r="F626" t="s">
        <v>218</v>
      </c>
      <c r="G626" t="s">
        <v>272</v>
      </c>
      <c r="H626">
        <v>11</v>
      </c>
      <c r="I626" t="s">
        <v>85</v>
      </c>
      <c r="J626" t="s">
        <v>278</v>
      </c>
      <c r="K626" t="s">
        <v>221</v>
      </c>
      <c r="L626">
        <v>750</v>
      </c>
      <c r="M626" s="211">
        <v>44396</v>
      </c>
      <c r="N626" s="211">
        <v>44396</v>
      </c>
      <c r="O626" s="212" t="s">
        <v>60</v>
      </c>
      <c r="P626" t="s">
        <v>274</v>
      </c>
      <c r="S626">
        <v>0</v>
      </c>
      <c r="T626">
        <v>0</v>
      </c>
      <c r="U626">
        <v>0</v>
      </c>
      <c r="V626">
        <v>0</v>
      </c>
      <c r="W626">
        <v>0</v>
      </c>
      <c r="X626" s="140">
        <v>750</v>
      </c>
      <c r="Y626" s="209">
        <f t="shared" si="9"/>
        <v>750</v>
      </c>
      <c r="Z626">
        <v>0</v>
      </c>
      <c r="AA626">
        <v>51000121055562</v>
      </c>
      <c r="AB626" t="s">
        <v>275</v>
      </c>
      <c r="AE626"/>
      <c r="AF626"/>
      <c r="AG626" t="s">
        <v>223</v>
      </c>
      <c r="AN626" t="s">
        <v>218</v>
      </c>
      <c r="AO626" t="s">
        <v>276</v>
      </c>
      <c r="AP626" t="s">
        <v>225</v>
      </c>
      <c r="AQ626">
        <v>0.13</v>
      </c>
      <c r="AR626" t="s">
        <v>277</v>
      </c>
    </row>
    <row r="627" hidden="1" spans="1:44">
      <c r="A627" t="s">
        <v>58</v>
      </c>
      <c r="B627" t="s">
        <v>25</v>
      </c>
      <c r="C627" s="209" t="s">
        <v>26</v>
      </c>
      <c r="D627" s="210">
        <v>71000121052668</v>
      </c>
      <c r="E627" s="211">
        <v>44347</v>
      </c>
      <c r="F627" t="s">
        <v>218</v>
      </c>
      <c r="G627" t="s">
        <v>272</v>
      </c>
      <c r="H627">
        <v>2</v>
      </c>
      <c r="I627" t="s">
        <v>78</v>
      </c>
      <c r="J627" t="s">
        <v>240</v>
      </c>
      <c r="K627" t="s">
        <v>221</v>
      </c>
      <c r="L627">
        <v>750</v>
      </c>
      <c r="M627" s="211">
        <v>44397</v>
      </c>
      <c r="N627" s="211">
        <v>44397</v>
      </c>
      <c r="O627" s="212" t="s">
        <v>60</v>
      </c>
      <c r="P627" t="s">
        <v>274</v>
      </c>
      <c r="S627">
        <v>0</v>
      </c>
      <c r="T627">
        <v>0</v>
      </c>
      <c r="U627">
        <v>0</v>
      </c>
      <c r="V627">
        <v>0</v>
      </c>
      <c r="W627">
        <v>0</v>
      </c>
      <c r="X627" s="140">
        <v>750</v>
      </c>
      <c r="Y627" s="209">
        <f t="shared" si="9"/>
        <v>750</v>
      </c>
      <c r="Z627">
        <v>0</v>
      </c>
      <c r="AA627">
        <v>51000121055703</v>
      </c>
      <c r="AB627" t="s">
        <v>275</v>
      </c>
      <c r="AE627"/>
      <c r="AF627"/>
      <c r="AG627" t="s">
        <v>223</v>
      </c>
      <c r="AN627" t="s">
        <v>218</v>
      </c>
      <c r="AO627" t="s">
        <v>276</v>
      </c>
      <c r="AP627" t="s">
        <v>225</v>
      </c>
      <c r="AQ627">
        <v>0.13</v>
      </c>
      <c r="AR627" t="s">
        <v>277</v>
      </c>
    </row>
    <row r="628" hidden="1" spans="1:44">
      <c r="A628" t="s">
        <v>58</v>
      </c>
      <c r="B628" t="s">
        <v>25</v>
      </c>
      <c r="C628" s="209" t="s">
        <v>26</v>
      </c>
      <c r="D628" s="210">
        <v>71000121052668</v>
      </c>
      <c r="E628" s="211">
        <v>44347</v>
      </c>
      <c r="F628" t="s">
        <v>218</v>
      </c>
      <c r="G628" t="s">
        <v>272</v>
      </c>
      <c r="H628">
        <v>3</v>
      </c>
      <c r="I628" t="s">
        <v>78</v>
      </c>
      <c r="J628" t="s">
        <v>240</v>
      </c>
      <c r="K628" t="s">
        <v>221</v>
      </c>
      <c r="L628">
        <v>750</v>
      </c>
      <c r="M628" s="211">
        <v>44404</v>
      </c>
      <c r="N628" s="211">
        <v>44404</v>
      </c>
      <c r="O628" s="212" t="s">
        <v>60</v>
      </c>
      <c r="P628" t="s">
        <v>274</v>
      </c>
      <c r="S628">
        <v>0</v>
      </c>
      <c r="T628">
        <v>0</v>
      </c>
      <c r="U628">
        <v>0</v>
      </c>
      <c r="V628">
        <v>0</v>
      </c>
      <c r="W628">
        <v>0</v>
      </c>
      <c r="X628" s="140">
        <v>750</v>
      </c>
      <c r="Y628" s="209">
        <f t="shared" si="9"/>
        <v>750</v>
      </c>
      <c r="Z628">
        <v>0</v>
      </c>
      <c r="AA628">
        <v>51000121055703</v>
      </c>
      <c r="AB628" t="s">
        <v>275</v>
      </c>
      <c r="AE628"/>
      <c r="AF628"/>
      <c r="AG628" t="s">
        <v>223</v>
      </c>
      <c r="AN628" t="s">
        <v>218</v>
      </c>
      <c r="AO628" t="s">
        <v>276</v>
      </c>
      <c r="AP628" t="s">
        <v>225</v>
      </c>
      <c r="AQ628">
        <v>0.13</v>
      </c>
      <c r="AR628" t="s">
        <v>277</v>
      </c>
    </row>
    <row r="629" hidden="1" spans="1:44">
      <c r="A629" t="s">
        <v>58</v>
      </c>
      <c r="B629" t="s">
        <v>25</v>
      </c>
      <c r="C629" s="209" t="s">
        <v>26</v>
      </c>
      <c r="D629" s="210">
        <v>71000121052668</v>
      </c>
      <c r="E629" s="211">
        <v>44347</v>
      </c>
      <c r="F629" t="s">
        <v>218</v>
      </c>
      <c r="G629" t="s">
        <v>272</v>
      </c>
      <c r="H629">
        <v>4</v>
      </c>
      <c r="I629" t="s">
        <v>78</v>
      </c>
      <c r="J629" t="s">
        <v>240</v>
      </c>
      <c r="K629" t="s">
        <v>221</v>
      </c>
      <c r="L629">
        <v>750</v>
      </c>
      <c r="M629" s="211">
        <v>44411</v>
      </c>
      <c r="N629" s="211">
        <v>44411</v>
      </c>
      <c r="O629" s="212" t="s">
        <v>227</v>
      </c>
      <c r="P629" t="s">
        <v>274</v>
      </c>
      <c r="S629">
        <v>0</v>
      </c>
      <c r="T629">
        <v>0</v>
      </c>
      <c r="U629">
        <v>0</v>
      </c>
      <c r="V629">
        <v>0</v>
      </c>
      <c r="W629">
        <v>0</v>
      </c>
      <c r="X629" s="140">
        <v>750</v>
      </c>
      <c r="Y629" s="209">
        <f t="shared" si="9"/>
        <v>750</v>
      </c>
      <c r="Z629">
        <v>0</v>
      </c>
      <c r="AA629">
        <v>51000121055703</v>
      </c>
      <c r="AB629" t="s">
        <v>275</v>
      </c>
      <c r="AE629"/>
      <c r="AF629"/>
      <c r="AG629" t="s">
        <v>223</v>
      </c>
      <c r="AN629" t="s">
        <v>218</v>
      </c>
      <c r="AO629" t="s">
        <v>276</v>
      </c>
      <c r="AP629" t="s">
        <v>225</v>
      </c>
      <c r="AQ629">
        <v>0.13</v>
      </c>
      <c r="AR629" t="s">
        <v>277</v>
      </c>
    </row>
    <row r="630" hidden="1" spans="1:44">
      <c r="A630" t="s">
        <v>58</v>
      </c>
      <c r="B630" t="s">
        <v>25</v>
      </c>
      <c r="C630" s="209" t="s">
        <v>26</v>
      </c>
      <c r="D630" s="210">
        <v>71000121052668</v>
      </c>
      <c r="E630" s="211">
        <v>44347</v>
      </c>
      <c r="F630" t="s">
        <v>218</v>
      </c>
      <c r="G630" t="s">
        <v>272</v>
      </c>
      <c r="H630">
        <v>5</v>
      </c>
      <c r="I630" t="s">
        <v>78</v>
      </c>
      <c r="J630" t="s">
        <v>240</v>
      </c>
      <c r="K630" t="s">
        <v>221</v>
      </c>
      <c r="L630">
        <v>750</v>
      </c>
      <c r="M630" s="211">
        <v>44418</v>
      </c>
      <c r="N630" s="211">
        <v>44418</v>
      </c>
      <c r="O630" s="212" t="s">
        <v>227</v>
      </c>
      <c r="P630" t="s">
        <v>274</v>
      </c>
      <c r="S630">
        <v>0</v>
      </c>
      <c r="T630">
        <v>0</v>
      </c>
      <c r="U630">
        <v>0</v>
      </c>
      <c r="V630">
        <v>0</v>
      </c>
      <c r="W630">
        <v>0</v>
      </c>
      <c r="X630" s="140">
        <v>750</v>
      </c>
      <c r="Y630" s="209">
        <f t="shared" si="9"/>
        <v>750</v>
      </c>
      <c r="Z630">
        <v>0</v>
      </c>
      <c r="AA630">
        <v>51000121055703</v>
      </c>
      <c r="AB630" t="s">
        <v>275</v>
      </c>
      <c r="AE630"/>
      <c r="AF630"/>
      <c r="AG630" t="s">
        <v>223</v>
      </c>
      <c r="AN630" t="s">
        <v>218</v>
      </c>
      <c r="AO630" t="s">
        <v>276</v>
      </c>
      <c r="AP630" t="s">
        <v>225</v>
      </c>
      <c r="AQ630">
        <v>0.13</v>
      </c>
      <c r="AR630" t="s">
        <v>277</v>
      </c>
    </row>
    <row r="631" hidden="1" spans="1:44">
      <c r="A631" t="s">
        <v>58</v>
      </c>
      <c r="B631" t="s">
        <v>25</v>
      </c>
      <c r="C631" s="209" t="s">
        <v>26</v>
      </c>
      <c r="D631" s="210">
        <v>71000121052668</v>
      </c>
      <c r="E631" s="211">
        <v>44347</v>
      </c>
      <c r="F631" t="s">
        <v>218</v>
      </c>
      <c r="G631" t="s">
        <v>272</v>
      </c>
      <c r="H631">
        <v>9</v>
      </c>
      <c r="I631" t="s">
        <v>87</v>
      </c>
      <c r="J631" t="s">
        <v>279</v>
      </c>
      <c r="K631" t="s">
        <v>221</v>
      </c>
      <c r="L631">
        <v>1000</v>
      </c>
      <c r="M631" s="211">
        <v>44417</v>
      </c>
      <c r="N631" s="211">
        <v>44417</v>
      </c>
      <c r="O631" s="212" t="s">
        <v>227</v>
      </c>
      <c r="P631" t="s">
        <v>274</v>
      </c>
      <c r="S631">
        <v>0</v>
      </c>
      <c r="T631">
        <v>0</v>
      </c>
      <c r="U631">
        <v>0</v>
      </c>
      <c r="V631">
        <v>0</v>
      </c>
      <c r="W631">
        <v>0</v>
      </c>
      <c r="X631" s="140">
        <v>1000</v>
      </c>
      <c r="Y631" s="209">
        <f t="shared" si="9"/>
        <v>1000</v>
      </c>
      <c r="Z631">
        <v>0</v>
      </c>
      <c r="AA631">
        <v>51000121055703</v>
      </c>
      <c r="AB631" t="s">
        <v>275</v>
      </c>
      <c r="AE631"/>
      <c r="AF631"/>
      <c r="AG631" t="s">
        <v>223</v>
      </c>
      <c r="AN631" t="s">
        <v>218</v>
      </c>
      <c r="AO631" t="s">
        <v>276</v>
      </c>
      <c r="AP631" t="s">
        <v>225</v>
      </c>
      <c r="AQ631">
        <v>0.13</v>
      </c>
      <c r="AR631" t="s">
        <v>277</v>
      </c>
    </row>
    <row r="632" hidden="1" spans="1:44">
      <c r="A632" t="s">
        <v>58</v>
      </c>
      <c r="B632" t="s">
        <v>25</v>
      </c>
      <c r="C632" s="209" t="s">
        <v>26</v>
      </c>
      <c r="D632" s="210">
        <v>71000121052668</v>
      </c>
      <c r="E632" s="211">
        <v>44347</v>
      </c>
      <c r="F632" t="s">
        <v>218</v>
      </c>
      <c r="G632" t="s">
        <v>272</v>
      </c>
      <c r="H632">
        <v>10</v>
      </c>
      <c r="I632" t="s">
        <v>87</v>
      </c>
      <c r="J632" t="s">
        <v>279</v>
      </c>
      <c r="K632" t="s">
        <v>221</v>
      </c>
      <c r="L632">
        <v>1000</v>
      </c>
      <c r="M632" s="211">
        <v>44424</v>
      </c>
      <c r="N632" s="211">
        <v>44424</v>
      </c>
      <c r="O632" s="212" t="s">
        <v>227</v>
      </c>
      <c r="P632" t="s">
        <v>274</v>
      </c>
      <c r="S632">
        <v>0</v>
      </c>
      <c r="T632">
        <v>0</v>
      </c>
      <c r="U632">
        <v>0</v>
      </c>
      <c r="V632">
        <v>0</v>
      </c>
      <c r="W632">
        <v>0</v>
      </c>
      <c r="X632" s="140">
        <v>1000</v>
      </c>
      <c r="Y632" s="209">
        <f t="shared" si="9"/>
        <v>1000</v>
      </c>
      <c r="Z632">
        <v>0</v>
      </c>
      <c r="AA632">
        <v>51000121055703</v>
      </c>
      <c r="AB632" t="s">
        <v>275</v>
      </c>
      <c r="AE632"/>
      <c r="AF632"/>
      <c r="AG632" t="s">
        <v>223</v>
      </c>
      <c r="AN632" t="s">
        <v>218</v>
      </c>
      <c r="AO632" t="s">
        <v>276</v>
      </c>
      <c r="AP632" t="s">
        <v>225</v>
      </c>
      <c r="AQ632">
        <v>0.13</v>
      </c>
      <c r="AR632" t="s">
        <v>277</v>
      </c>
    </row>
    <row r="633" hidden="1" spans="1:44">
      <c r="A633" t="s">
        <v>58</v>
      </c>
      <c r="B633" t="s">
        <v>25</v>
      </c>
      <c r="C633" s="209" t="s">
        <v>26</v>
      </c>
      <c r="D633" s="210">
        <v>71000121052668</v>
      </c>
      <c r="E633" s="211">
        <v>44347</v>
      </c>
      <c r="F633" t="s">
        <v>218</v>
      </c>
      <c r="G633" t="s">
        <v>272</v>
      </c>
      <c r="H633">
        <v>12</v>
      </c>
      <c r="I633" t="s">
        <v>88</v>
      </c>
      <c r="J633" t="s">
        <v>229</v>
      </c>
      <c r="K633" t="s">
        <v>221</v>
      </c>
      <c r="L633">
        <v>1000</v>
      </c>
      <c r="M633" s="211">
        <v>44403</v>
      </c>
      <c r="N633" s="211">
        <v>44403</v>
      </c>
      <c r="O633" s="212" t="s">
        <v>60</v>
      </c>
      <c r="P633" t="s">
        <v>274</v>
      </c>
      <c r="S633">
        <v>0</v>
      </c>
      <c r="T633">
        <v>0</v>
      </c>
      <c r="U633">
        <v>0</v>
      </c>
      <c r="V633">
        <v>0</v>
      </c>
      <c r="W633">
        <v>0</v>
      </c>
      <c r="X633" s="140">
        <v>1000</v>
      </c>
      <c r="Y633" s="209">
        <f t="shared" si="9"/>
        <v>1000</v>
      </c>
      <c r="Z633">
        <v>0</v>
      </c>
      <c r="AA633">
        <v>51000121055703</v>
      </c>
      <c r="AB633" t="s">
        <v>275</v>
      </c>
      <c r="AE633"/>
      <c r="AF633"/>
      <c r="AG633" t="s">
        <v>223</v>
      </c>
      <c r="AN633" t="s">
        <v>218</v>
      </c>
      <c r="AO633" t="s">
        <v>276</v>
      </c>
      <c r="AP633" t="s">
        <v>225</v>
      </c>
      <c r="AQ633">
        <v>0.13</v>
      </c>
      <c r="AR633" t="s">
        <v>277</v>
      </c>
    </row>
    <row r="634" hidden="1" spans="1:44">
      <c r="A634" t="s">
        <v>58</v>
      </c>
      <c r="B634" t="s">
        <v>25</v>
      </c>
      <c r="C634" s="209" t="s">
        <v>26</v>
      </c>
      <c r="D634" s="210">
        <v>71000121052668</v>
      </c>
      <c r="E634" s="211">
        <v>44347</v>
      </c>
      <c r="F634" t="s">
        <v>218</v>
      </c>
      <c r="G634" t="s">
        <v>272</v>
      </c>
      <c r="H634">
        <v>13</v>
      </c>
      <c r="I634" t="s">
        <v>88</v>
      </c>
      <c r="J634" t="s">
        <v>229</v>
      </c>
      <c r="K634" t="s">
        <v>221</v>
      </c>
      <c r="L634">
        <v>1000</v>
      </c>
      <c r="M634" s="211">
        <v>44410</v>
      </c>
      <c r="N634" s="211">
        <v>44410</v>
      </c>
      <c r="O634" s="212" t="s">
        <v>227</v>
      </c>
      <c r="P634" t="s">
        <v>274</v>
      </c>
      <c r="S634">
        <v>0</v>
      </c>
      <c r="T634">
        <v>0</v>
      </c>
      <c r="U634">
        <v>0</v>
      </c>
      <c r="V634">
        <v>0</v>
      </c>
      <c r="W634">
        <v>0</v>
      </c>
      <c r="X634" s="140">
        <v>1000</v>
      </c>
      <c r="Y634" s="209">
        <f t="shared" si="9"/>
        <v>1000</v>
      </c>
      <c r="Z634">
        <v>0</v>
      </c>
      <c r="AA634">
        <v>51000121055703</v>
      </c>
      <c r="AB634" t="s">
        <v>275</v>
      </c>
      <c r="AE634"/>
      <c r="AF634"/>
      <c r="AG634" t="s">
        <v>223</v>
      </c>
      <c r="AN634" t="s">
        <v>218</v>
      </c>
      <c r="AO634" t="s">
        <v>276</v>
      </c>
      <c r="AP634" t="s">
        <v>225</v>
      </c>
      <c r="AQ634">
        <v>0.13</v>
      </c>
      <c r="AR634" t="s">
        <v>277</v>
      </c>
    </row>
    <row r="635" hidden="1" spans="1:44">
      <c r="A635" t="s">
        <v>58</v>
      </c>
      <c r="B635" t="s">
        <v>25</v>
      </c>
      <c r="C635" s="209" t="s">
        <v>26</v>
      </c>
      <c r="D635" s="210">
        <v>71000121052668</v>
      </c>
      <c r="E635" s="211">
        <v>44347</v>
      </c>
      <c r="F635" t="s">
        <v>218</v>
      </c>
      <c r="G635" t="s">
        <v>272</v>
      </c>
      <c r="H635">
        <v>14</v>
      </c>
      <c r="I635" t="s">
        <v>88</v>
      </c>
      <c r="J635" t="s">
        <v>229</v>
      </c>
      <c r="K635" t="s">
        <v>221</v>
      </c>
      <c r="L635">
        <v>1000</v>
      </c>
      <c r="M635" s="211">
        <v>44417</v>
      </c>
      <c r="N635" s="211">
        <v>44417</v>
      </c>
      <c r="O635" s="212" t="s">
        <v>227</v>
      </c>
      <c r="P635" t="s">
        <v>274</v>
      </c>
      <c r="S635">
        <v>0</v>
      </c>
      <c r="T635">
        <v>0</v>
      </c>
      <c r="U635">
        <v>0</v>
      </c>
      <c r="V635">
        <v>0</v>
      </c>
      <c r="W635">
        <v>0</v>
      </c>
      <c r="X635" s="140">
        <v>1000</v>
      </c>
      <c r="Y635" s="209">
        <f t="shared" si="9"/>
        <v>1000</v>
      </c>
      <c r="Z635">
        <v>0</v>
      </c>
      <c r="AA635">
        <v>51000121055703</v>
      </c>
      <c r="AB635" t="s">
        <v>275</v>
      </c>
      <c r="AE635"/>
      <c r="AF635"/>
      <c r="AG635" t="s">
        <v>223</v>
      </c>
      <c r="AN635" t="s">
        <v>218</v>
      </c>
      <c r="AO635" t="s">
        <v>276</v>
      </c>
      <c r="AP635" t="s">
        <v>225</v>
      </c>
      <c r="AQ635">
        <v>0.13</v>
      </c>
      <c r="AR635" t="s">
        <v>277</v>
      </c>
    </row>
    <row r="636" hidden="1" spans="1:44">
      <c r="A636" t="s">
        <v>58</v>
      </c>
      <c r="B636" t="s">
        <v>25</v>
      </c>
      <c r="C636" s="209" t="s">
        <v>26</v>
      </c>
      <c r="D636" s="210">
        <v>71000121052668</v>
      </c>
      <c r="E636" s="211">
        <v>44347</v>
      </c>
      <c r="F636" t="s">
        <v>218</v>
      </c>
      <c r="G636" t="s">
        <v>272</v>
      </c>
      <c r="H636">
        <v>15</v>
      </c>
      <c r="I636" t="s">
        <v>88</v>
      </c>
      <c r="J636" t="s">
        <v>229</v>
      </c>
      <c r="K636" t="s">
        <v>221</v>
      </c>
      <c r="L636">
        <v>1000</v>
      </c>
      <c r="M636" s="211">
        <v>44424</v>
      </c>
      <c r="N636" s="211">
        <v>44424</v>
      </c>
      <c r="O636" s="212" t="s">
        <v>227</v>
      </c>
      <c r="P636" t="s">
        <v>274</v>
      </c>
      <c r="S636">
        <v>0</v>
      </c>
      <c r="T636">
        <v>0</v>
      </c>
      <c r="U636">
        <v>0</v>
      </c>
      <c r="V636">
        <v>0</v>
      </c>
      <c r="W636">
        <v>0</v>
      </c>
      <c r="X636" s="140">
        <v>1000</v>
      </c>
      <c r="Y636" s="209">
        <f t="shared" si="9"/>
        <v>1000</v>
      </c>
      <c r="Z636">
        <v>0</v>
      </c>
      <c r="AA636">
        <v>51000121055703</v>
      </c>
      <c r="AB636" t="s">
        <v>275</v>
      </c>
      <c r="AE636"/>
      <c r="AF636"/>
      <c r="AG636" t="s">
        <v>223</v>
      </c>
      <c r="AN636" t="s">
        <v>218</v>
      </c>
      <c r="AO636" t="s">
        <v>276</v>
      </c>
      <c r="AP636" t="s">
        <v>225</v>
      </c>
      <c r="AQ636">
        <v>0.13</v>
      </c>
      <c r="AR636" t="s">
        <v>277</v>
      </c>
    </row>
    <row r="637" hidden="1" spans="1:44">
      <c r="A637" t="s">
        <v>58</v>
      </c>
      <c r="B637" t="s">
        <v>25</v>
      </c>
      <c r="C637" s="209" t="s">
        <v>26</v>
      </c>
      <c r="D637" s="210">
        <v>71000121060199</v>
      </c>
      <c r="E637" s="211">
        <v>44350</v>
      </c>
      <c r="F637" t="s">
        <v>218</v>
      </c>
      <c r="G637" t="s">
        <v>272</v>
      </c>
      <c r="H637">
        <v>1</v>
      </c>
      <c r="I637" t="s">
        <v>77</v>
      </c>
      <c r="J637" t="s">
        <v>240</v>
      </c>
      <c r="K637" t="s">
        <v>221</v>
      </c>
      <c r="L637">
        <v>400</v>
      </c>
      <c r="M637" s="211">
        <v>44375</v>
      </c>
      <c r="N637" s="211">
        <v>44393</v>
      </c>
      <c r="O637" s="212" t="s">
        <v>60</v>
      </c>
      <c r="P637" t="s">
        <v>274</v>
      </c>
      <c r="S637">
        <v>0</v>
      </c>
      <c r="T637">
        <v>0</v>
      </c>
      <c r="U637">
        <v>0</v>
      </c>
      <c r="V637">
        <v>0</v>
      </c>
      <c r="W637">
        <v>0</v>
      </c>
      <c r="X637" s="140">
        <v>400</v>
      </c>
      <c r="Y637" s="209">
        <f t="shared" si="9"/>
        <v>400</v>
      </c>
      <c r="Z637">
        <v>0</v>
      </c>
      <c r="AA637">
        <v>51000121060675</v>
      </c>
      <c r="AB637" t="s">
        <v>275</v>
      </c>
      <c r="AE637"/>
      <c r="AF637"/>
      <c r="AG637" t="s">
        <v>223</v>
      </c>
      <c r="AN637" t="s">
        <v>218</v>
      </c>
      <c r="AO637" t="s">
        <v>276</v>
      </c>
      <c r="AP637" t="s">
        <v>225</v>
      </c>
      <c r="AQ637">
        <v>0.13</v>
      </c>
      <c r="AR637" t="s">
        <v>277</v>
      </c>
    </row>
    <row r="638" hidden="1" spans="1:44">
      <c r="A638" t="s">
        <v>58</v>
      </c>
      <c r="B638" t="s">
        <v>25</v>
      </c>
      <c r="C638" s="209" t="s">
        <v>26</v>
      </c>
      <c r="D638" s="210">
        <v>71000121060199</v>
      </c>
      <c r="E638" s="211">
        <v>44350</v>
      </c>
      <c r="F638" t="s">
        <v>218</v>
      </c>
      <c r="G638" t="s">
        <v>272</v>
      </c>
      <c r="H638">
        <v>3</v>
      </c>
      <c r="I638" t="s">
        <v>81</v>
      </c>
      <c r="J638" t="s">
        <v>280</v>
      </c>
      <c r="K638" t="s">
        <v>221</v>
      </c>
      <c r="L638">
        <v>95</v>
      </c>
      <c r="M638" s="211">
        <v>44382</v>
      </c>
      <c r="N638" s="211">
        <v>44393</v>
      </c>
      <c r="O638" s="212" t="s">
        <v>60</v>
      </c>
      <c r="P638" t="s">
        <v>274</v>
      </c>
      <c r="S638">
        <v>0</v>
      </c>
      <c r="T638">
        <v>0</v>
      </c>
      <c r="U638">
        <v>0</v>
      </c>
      <c r="V638">
        <v>0</v>
      </c>
      <c r="W638">
        <v>0</v>
      </c>
      <c r="X638" s="140">
        <v>95</v>
      </c>
      <c r="Y638" s="209">
        <f t="shared" si="9"/>
        <v>95</v>
      </c>
      <c r="Z638">
        <v>0</v>
      </c>
      <c r="AA638">
        <v>51000121060675</v>
      </c>
      <c r="AB638" t="s">
        <v>275</v>
      </c>
      <c r="AE638"/>
      <c r="AF638"/>
      <c r="AG638" t="s">
        <v>223</v>
      </c>
      <c r="AN638" t="s">
        <v>218</v>
      </c>
      <c r="AO638" t="s">
        <v>276</v>
      </c>
      <c r="AP638" t="s">
        <v>225</v>
      </c>
      <c r="AQ638">
        <v>0.13</v>
      </c>
      <c r="AR638" t="s">
        <v>277</v>
      </c>
    </row>
    <row r="639" hidden="1" spans="1:44">
      <c r="A639" t="s">
        <v>58</v>
      </c>
      <c r="B639" t="s">
        <v>25</v>
      </c>
      <c r="C639" s="209" t="s">
        <v>26</v>
      </c>
      <c r="D639" s="210">
        <v>71000121060199</v>
      </c>
      <c r="E639" s="211">
        <v>44350</v>
      </c>
      <c r="F639" t="s">
        <v>218</v>
      </c>
      <c r="G639" t="s">
        <v>272</v>
      </c>
      <c r="H639">
        <v>4</v>
      </c>
      <c r="I639" t="s">
        <v>83</v>
      </c>
      <c r="J639" t="s">
        <v>278</v>
      </c>
      <c r="K639" t="s">
        <v>221</v>
      </c>
      <c r="L639">
        <v>1651</v>
      </c>
      <c r="M639" s="211">
        <v>44382</v>
      </c>
      <c r="N639" s="211">
        <v>44393</v>
      </c>
      <c r="O639" s="212" t="s">
        <v>60</v>
      </c>
      <c r="P639" t="s">
        <v>274</v>
      </c>
      <c r="S639">
        <v>0</v>
      </c>
      <c r="T639">
        <v>0</v>
      </c>
      <c r="U639">
        <v>0</v>
      </c>
      <c r="V639">
        <v>0</v>
      </c>
      <c r="W639">
        <v>0</v>
      </c>
      <c r="X639" s="140">
        <v>1651</v>
      </c>
      <c r="Y639" s="209">
        <f t="shared" si="9"/>
        <v>1651</v>
      </c>
      <c r="Z639">
        <v>0</v>
      </c>
      <c r="AA639">
        <v>51000121060675</v>
      </c>
      <c r="AB639" t="s">
        <v>275</v>
      </c>
      <c r="AE639"/>
      <c r="AF639"/>
      <c r="AG639" t="s">
        <v>223</v>
      </c>
      <c r="AN639" t="s">
        <v>218</v>
      </c>
      <c r="AO639" t="s">
        <v>276</v>
      </c>
      <c r="AP639" t="s">
        <v>225</v>
      </c>
      <c r="AQ639">
        <v>0.13</v>
      </c>
      <c r="AR639" t="s">
        <v>277</v>
      </c>
    </row>
    <row r="640" hidden="1" spans="1:44">
      <c r="A640" t="s">
        <v>58</v>
      </c>
      <c r="B640" t="s">
        <v>25</v>
      </c>
      <c r="C640" s="209" t="s">
        <v>26</v>
      </c>
      <c r="D640" s="210">
        <v>71000121060199</v>
      </c>
      <c r="E640" s="211">
        <v>44350</v>
      </c>
      <c r="F640" t="s">
        <v>218</v>
      </c>
      <c r="G640" t="s">
        <v>272</v>
      </c>
      <c r="H640">
        <v>5</v>
      </c>
      <c r="I640" t="s">
        <v>83</v>
      </c>
      <c r="J640" t="s">
        <v>278</v>
      </c>
      <c r="K640" t="s">
        <v>221</v>
      </c>
      <c r="L640">
        <v>635</v>
      </c>
      <c r="M640" s="211">
        <v>44389</v>
      </c>
      <c r="N640" s="211">
        <v>44403</v>
      </c>
      <c r="O640" s="212" t="s">
        <v>60</v>
      </c>
      <c r="P640" t="s">
        <v>274</v>
      </c>
      <c r="S640">
        <v>0</v>
      </c>
      <c r="T640">
        <v>0</v>
      </c>
      <c r="U640">
        <v>0</v>
      </c>
      <c r="V640">
        <v>0</v>
      </c>
      <c r="W640">
        <v>0</v>
      </c>
      <c r="X640" s="140">
        <v>635</v>
      </c>
      <c r="Y640" s="209">
        <f t="shared" si="9"/>
        <v>635</v>
      </c>
      <c r="Z640">
        <v>0</v>
      </c>
      <c r="AA640">
        <v>51000121060675</v>
      </c>
      <c r="AB640" t="s">
        <v>275</v>
      </c>
      <c r="AE640"/>
      <c r="AF640"/>
      <c r="AG640" t="s">
        <v>223</v>
      </c>
      <c r="AN640" t="s">
        <v>218</v>
      </c>
      <c r="AO640" t="s">
        <v>276</v>
      </c>
      <c r="AP640" t="s">
        <v>225</v>
      </c>
      <c r="AQ640">
        <v>0.13</v>
      </c>
      <c r="AR640" t="s">
        <v>277</v>
      </c>
    </row>
    <row r="641" hidden="1" spans="1:44">
      <c r="A641" t="s">
        <v>58</v>
      </c>
      <c r="B641" t="s">
        <v>25</v>
      </c>
      <c r="C641" s="209" t="s">
        <v>26</v>
      </c>
      <c r="D641" s="210">
        <v>71000121060199</v>
      </c>
      <c r="E641" s="211">
        <v>44350</v>
      </c>
      <c r="F641" t="s">
        <v>218</v>
      </c>
      <c r="G641" t="s">
        <v>272</v>
      </c>
      <c r="H641">
        <v>7</v>
      </c>
      <c r="I641" t="s">
        <v>85</v>
      </c>
      <c r="J641" t="s">
        <v>278</v>
      </c>
      <c r="K641" t="s">
        <v>221</v>
      </c>
      <c r="L641">
        <v>1548</v>
      </c>
      <c r="M641" s="211">
        <v>44396</v>
      </c>
      <c r="N641" s="211">
        <v>44396</v>
      </c>
      <c r="O641" s="212" t="s">
        <v>60</v>
      </c>
      <c r="P641" t="s">
        <v>274</v>
      </c>
      <c r="S641">
        <v>0</v>
      </c>
      <c r="T641">
        <v>0</v>
      </c>
      <c r="U641">
        <v>0</v>
      </c>
      <c r="V641">
        <v>0</v>
      </c>
      <c r="W641">
        <v>0</v>
      </c>
      <c r="X641" s="140">
        <v>1548</v>
      </c>
      <c r="Y641" s="209">
        <f t="shared" si="9"/>
        <v>1548</v>
      </c>
      <c r="Z641">
        <v>0</v>
      </c>
      <c r="AA641">
        <v>51000121060675</v>
      </c>
      <c r="AB641" t="s">
        <v>275</v>
      </c>
      <c r="AE641"/>
      <c r="AF641"/>
      <c r="AG641" t="s">
        <v>223</v>
      </c>
      <c r="AN641" t="s">
        <v>218</v>
      </c>
      <c r="AO641" t="s">
        <v>276</v>
      </c>
      <c r="AP641" t="s">
        <v>225</v>
      </c>
      <c r="AQ641">
        <v>0.13</v>
      </c>
      <c r="AR641" t="s">
        <v>277</v>
      </c>
    </row>
    <row r="642" hidden="1" spans="1:44">
      <c r="A642" t="s">
        <v>58</v>
      </c>
      <c r="B642" t="s">
        <v>25</v>
      </c>
      <c r="C642" s="209" t="s">
        <v>26</v>
      </c>
      <c r="D642" s="210">
        <v>71000121060541</v>
      </c>
      <c r="E642" s="211">
        <v>44354</v>
      </c>
      <c r="F642" t="s">
        <v>218</v>
      </c>
      <c r="G642" t="s">
        <v>272</v>
      </c>
      <c r="H642">
        <v>1</v>
      </c>
      <c r="I642" t="s">
        <v>76</v>
      </c>
      <c r="J642" t="s">
        <v>281</v>
      </c>
      <c r="K642" t="s">
        <v>221</v>
      </c>
      <c r="L642">
        <v>326</v>
      </c>
      <c r="M642" s="211">
        <v>44362</v>
      </c>
      <c r="N642" s="211">
        <v>44393</v>
      </c>
      <c r="O642" s="212" t="s">
        <v>60</v>
      </c>
      <c r="P642" t="s">
        <v>274</v>
      </c>
      <c r="S642">
        <v>0</v>
      </c>
      <c r="T642">
        <v>0</v>
      </c>
      <c r="U642">
        <v>0</v>
      </c>
      <c r="V642">
        <v>0</v>
      </c>
      <c r="W642">
        <v>0</v>
      </c>
      <c r="X642" s="140">
        <v>326</v>
      </c>
      <c r="Y642" s="209">
        <f t="shared" si="9"/>
        <v>326</v>
      </c>
      <c r="Z642">
        <v>0</v>
      </c>
      <c r="AA642">
        <v>51000121061028</v>
      </c>
      <c r="AB642" t="s">
        <v>275</v>
      </c>
      <c r="AE642"/>
      <c r="AF642"/>
      <c r="AG642" t="s">
        <v>223</v>
      </c>
      <c r="AN642" t="s">
        <v>218</v>
      </c>
      <c r="AO642" t="s">
        <v>276</v>
      </c>
      <c r="AP642" t="s">
        <v>225</v>
      </c>
      <c r="AQ642">
        <v>0.13</v>
      </c>
      <c r="AR642" t="s">
        <v>277</v>
      </c>
    </row>
    <row r="643" hidden="1" spans="1:44">
      <c r="A643" t="s">
        <v>58</v>
      </c>
      <c r="B643" t="s">
        <v>25</v>
      </c>
      <c r="C643" s="209" t="s">
        <v>26</v>
      </c>
      <c r="D643" s="210">
        <v>71000121060541</v>
      </c>
      <c r="E643" s="211">
        <v>44354</v>
      </c>
      <c r="F643" t="s">
        <v>218</v>
      </c>
      <c r="G643" t="s">
        <v>272</v>
      </c>
      <c r="H643">
        <v>2</v>
      </c>
      <c r="I643" t="s">
        <v>282</v>
      </c>
      <c r="J643" t="s">
        <v>283</v>
      </c>
      <c r="K643" t="s">
        <v>221</v>
      </c>
      <c r="L643">
        <v>943</v>
      </c>
      <c r="M643" s="211">
        <v>44431</v>
      </c>
      <c r="N643" s="211">
        <v>44431</v>
      </c>
      <c r="O643" s="212" t="s">
        <v>227</v>
      </c>
      <c r="P643" t="s">
        <v>274</v>
      </c>
      <c r="S643">
        <v>0</v>
      </c>
      <c r="T643">
        <v>0</v>
      </c>
      <c r="U643">
        <v>0</v>
      </c>
      <c r="V643">
        <v>0</v>
      </c>
      <c r="W643">
        <v>0</v>
      </c>
      <c r="X643" s="140">
        <v>943</v>
      </c>
      <c r="Y643" s="209">
        <f t="shared" ref="Y643:Y706" si="10">L643-S643</f>
        <v>943</v>
      </c>
      <c r="Z643">
        <v>0</v>
      </c>
      <c r="AA643">
        <v>51000121061028</v>
      </c>
      <c r="AB643" t="s">
        <v>275</v>
      </c>
      <c r="AE643"/>
      <c r="AF643"/>
      <c r="AG643" t="s">
        <v>223</v>
      </c>
      <c r="AN643" t="s">
        <v>218</v>
      </c>
      <c r="AO643" t="s">
        <v>276</v>
      </c>
      <c r="AP643" t="s">
        <v>225</v>
      </c>
      <c r="AQ643">
        <v>0.13</v>
      </c>
      <c r="AR643" t="s">
        <v>277</v>
      </c>
    </row>
    <row r="644" hidden="1" spans="1:44">
      <c r="A644" t="s">
        <v>58</v>
      </c>
      <c r="B644" t="s">
        <v>25</v>
      </c>
      <c r="C644" s="209" t="s">
        <v>26</v>
      </c>
      <c r="D644" s="210">
        <v>71000121060541</v>
      </c>
      <c r="E644" s="211">
        <v>44354</v>
      </c>
      <c r="F644" t="s">
        <v>218</v>
      </c>
      <c r="G644" t="s">
        <v>272</v>
      </c>
      <c r="H644">
        <v>3</v>
      </c>
      <c r="I644" t="s">
        <v>282</v>
      </c>
      <c r="J644" t="s">
        <v>283</v>
      </c>
      <c r="K644" t="s">
        <v>221</v>
      </c>
      <c r="L644">
        <v>1035</v>
      </c>
      <c r="M644" s="211">
        <v>44438</v>
      </c>
      <c r="N644" s="211">
        <v>44438</v>
      </c>
      <c r="O644" s="212" t="s">
        <v>227</v>
      </c>
      <c r="P644" t="s">
        <v>274</v>
      </c>
      <c r="S644">
        <v>0</v>
      </c>
      <c r="T644">
        <v>0</v>
      </c>
      <c r="U644">
        <v>0</v>
      </c>
      <c r="V644">
        <v>0</v>
      </c>
      <c r="W644">
        <v>0</v>
      </c>
      <c r="X644" s="140">
        <v>1035</v>
      </c>
      <c r="Y644" s="209">
        <f t="shared" si="10"/>
        <v>1035</v>
      </c>
      <c r="Z644">
        <v>0</v>
      </c>
      <c r="AA644">
        <v>51000121061028</v>
      </c>
      <c r="AB644" t="s">
        <v>275</v>
      </c>
      <c r="AE644"/>
      <c r="AF644"/>
      <c r="AG644" t="s">
        <v>223</v>
      </c>
      <c r="AN644" t="s">
        <v>218</v>
      </c>
      <c r="AO644" t="s">
        <v>276</v>
      </c>
      <c r="AP644" t="s">
        <v>225</v>
      </c>
      <c r="AQ644">
        <v>0.13</v>
      </c>
      <c r="AR644" t="s">
        <v>277</v>
      </c>
    </row>
    <row r="645" hidden="1" spans="1:44">
      <c r="A645" t="s">
        <v>58</v>
      </c>
      <c r="B645" t="s">
        <v>25</v>
      </c>
      <c r="C645" s="209" t="s">
        <v>26</v>
      </c>
      <c r="D645" s="210">
        <v>71000121060541</v>
      </c>
      <c r="E645" s="211">
        <v>44354</v>
      </c>
      <c r="F645" t="s">
        <v>218</v>
      </c>
      <c r="G645" t="s">
        <v>272</v>
      </c>
      <c r="H645">
        <v>4</v>
      </c>
      <c r="I645" t="s">
        <v>282</v>
      </c>
      <c r="J645" t="s">
        <v>283</v>
      </c>
      <c r="K645" t="s">
        <v>221</v>
      </c>
      <c r="L645">
        <v>1035</v>
      </c>
      <c r="M645" s="211">
        <v>44445</v>
      </c>
      <c r="N645" s="211">
        <v>44445</v>
      </c>
      <c r="O645" s="212" t="s">
        <v>241</v>
      </c>
      <c r="P645" t="s">
        <v>274</v>
      </c>
      <c r="S645">
        <v>0</v>
      </c>
      <c r="T645">
        <v>0</v>
      </c>
      <c r="U645">
        <v>0</v>
      </c>
      <c r="V645">
        <v>0</v>
      </c>
      <c r="W645">
        <v>0</v>
      </c>
      <c r="X645" s="140">
        <v>1035</v>
      </c>
      <c r="Y645" s="209">
        <f t="shared" si="10"/>
        <v>1035</v>
      </c>
      <c r="Z645">
        <v>0</v>
      </c>
      <c r="AA645">
        <v>51000121061028</v>
      </c>
      <c r="AB645" t="s">
        <v>275</v>
      </c>
      <c r="AE645"/>
      <c r="AF645"/>
      <c r="AG645" t="s">
        <v>223</v>
      </c>
      <c r="AN645" t="s">
        <v>218</v>
      </c>
      <c r="AO645" t="s">
        <v>276</v>
      </c>
      <c r="AP645" t="s">
        <v>225</v>
      </c>
      <c r="AQ645">
        <v>0.13</v>
      </c>
      <c r="AR645" t="s">
        <v>277</v>
      </c>
    </row>
    <row r="646" hidden="1" spans="1:44">
      <c r="A646" t="s">
        <v>58</v>
      </c>
      <c r="B646" t="s">
        <v>25</v>
      </c>
      <c r="C646" s="209" t="s">
        <v>26</v>
      </c>
      <c r="D646" s="210">
        <v>71000121060541</v>
      </c>
      <c r="E646" s="211">
        <v>44354</v>
      </c>
      <c r="F646" t="s">
        <v>218</v>
      </c>
      <c r="G646" t="s">
        <v>272</v>
      </c>
      <c r="H646">
        <v>6</v>
      </c>
      <c r="I646" t="s">
        <v>81</v>
      </c>
      <c r="J646" t="s">
        <v>280</v>
      </c>
      <c r="K646" t="s">
        <v>221</v>
      </c>
      <c r="L646">
        <v>94</v>
      </c>
      <c r="M646" s="211">
        <v>44382</v>
      </c>
      <c r="N646" s="211">
        <v>44393</v>
      </c>
      <c r="O646" s="212" t="s">
        <v>60</v>
      </c>
      <c r="P646" t="s">
        <v>274</v>
      </c>
      <c r="S646">
        <v>0</v>
      </c>
      <c r="T646">
        <v>0</v>
      </c>
      <c r="U646">
        <v>0</v>
      </c>
      <c r="V646">
        <v>0</v>
      </c>
      <c r="W646">
        <v>0</v>
      </c>
      <c r="X646" s="140">
        <v>94</v>
      </c>
      <c r="Y646" s="209">
        <f t="shared" si="10"/>
        <v>94</v>
      </c>
      <c r="Z646">
        <v>0</v>
      </c>
      <c r="AA646">
        <v>51000121061028</v>
      </c>
      <c r="AB646" t="s">
        <v>275</v>
      </c>
      <c r="AE646"/>
      <c r="AF646"/>
      <c r="AG646" t="s">
        <v>223</v>
      </c>
      <c r="AN646" t="s">
        <v>218</v>
      </c>
      <c r="AO646" t="s">
        <v>276</v>
      </c>
      <c r="AP646" t="s">
        <v>225</v>
      </c>
      <c r="AQ646">
        <v>0.13</v>
      </c>
      <c r="AR646" t="s">
        <v>277</v>
      </c>
    </row>
    <row r="647" hidden="1" spans="1:44">
      <c r="A647" t="s">
        <v>58</v>
      </c>
      <c r="B647" t="s">
        <v>25</v>
      </c>
      <c r="C647" s="209" t="s">
        <v>26</v>
      </c>
      <c r="D647" s="210">
        <v>71000121060637</v>
      </c>
      <c r="E647" s="211">
        <v>44355</v>
      </c>
      <c r="F647" t="s">
        <v>218</v>
      </c>
      <c r="G647" t="s">
        <v>272</v>
      </c>
      <c r="H647">
        <v>1</v>
      </c>
      <c r="I647" t="s">
        <v>85</v>
      </c>
      <c r="J647" t="s">
        <v>278</v>
      </c>
      <c r="K647" t="s">
        <v>221</v>
      </c>
      <c r="L647">
        <v>53</v>
      </c>
      <c r="M647" s="211">
        <v>44396</v>
      </c>
      <c r="N647" s="211">
        <v>44396</v>
      </c>
      <c r="O647" s="212" t="s">
        <v>60</v>
      </c>
      <c r="P647" t="s">
        <v>274</v>
      </c>
      <c r="S647">
        <v>0</v>
      </c>
      <c r="T647">
        <v>0</v>
      </c>
      <c r="U647">
        <v>0</v>
      </c>
      <c r="V647">
        <v>0</v>
      </c>
      <c r="W647">
        <v>0</v>
      </c>
      <c r="X647" s="140">
        <v>53</v>
      </c>
      <c r="Y647" s="209">
        <f t="shared" si="10"/>
        <v>53</v>
      </c>
      <c r="Z647">
        <v>0</v>
      </c>
      <c r="AA647">
        <v>51000121061195</v>
      </c>
      <c r="AB647" t="s">
        <v>275</v>
      </c>
      <c r="AE647"/>
      <c r="AF647"/>
      <c r="AG647" t="s">
        <v>223</v>
      </c>
      <c r="AN647" t="s">
        <v>218</v>
      </c>
      <c r="AO647" t="s">
        <v>276</v>
      </c>
      <c r="AP647" t="s">
        <v>225</v>
      </c>
      <c r="AQ647">
        <v>0.13</v>
      </c>
      <c r="AR647" t="s">
        <v>277</v>
      </c>
    </row>
    <row r="648" hidden="1" spans="1:44">
      <c r="A648" t="s">
        <v>58</v>
      </c>
      <c r="B648" t="s">
        <v>25</v>
      </c>
      <c r="C648" s="209" t="s">
        <v>26</v>
      </c>
      <c r="D648" s="210">
        <v>71000121060931</v>
      </c>
      <c r="E648" s="211">
        <v>44358</v>
      </c>
      <c r="F648" t="s">
        <v>218</v>
      </c>
      <c r="G648" t="s">
        <v>272</v>
      </c>
      <c r="H648">
        <v>1</v>
      </c>
      <c r="I648" t="s">
        <v>76</v>
      </c>
      <c r="J648" t="s">
        <v>281</v>
      </c>
      <c r="K648" t="s">
        <v>221</v>
      </c>
      <c r="L648">
        <v>20</v>
      </c>
      <c r="M648" s="211">
        <v>44389</v>
      </c>
      <c r="N648" s="211">
        <v>44403</v>
      </c>
      <c r="O648" s="212" t="s">
        <v>60</v>
      </c>
      <c r="P648" t="s">
        <v>274</v>
      </c>
      <c r="S648">
        <v>0</v>
      </c>
      <c r="T648">
        <v>0</v>
      </c>
      <c r="U648">
        <v>0</v>
      </c>
      <c r="V648">
        <v>0</v>
      </c>
      <c r="W648">
        <v>0</v>
      </c>
      <c r="X648" s="140">
        <v>20</v>
      </c>
      <c r="Y648" s="209">
        <f t="shared" si="10"/>
        <v>20</v>
      </c>
      <c r="Z648">
        <v>0</v>
      </c>
      <c r="AA648">
        <v>51000121061597</v>
      </c>
      <c r="AB648" t="s">
        <v>275</v>
      </c>
      <c r="AE648"/>
      <c r="AF648"/>
      <c r="AG648" t="s">
        <v>223</v>
      </c>
      <c r="AN648" t="s">
        <v>218</v>
      </c>
      <c r="AO648" t="s">
        <v>276</v>
      </c>
      <c r="AP648" t="s">
        <v>225</v>
      </c>
      <c r="AQ648">
        <v>0.13</v>
      </c>
      <c r="AR648" t="s">
        <v>277</v>
      </c>
    </row>
    <row r="649" hidden="1" spans="1:44">
      <c r="A649" t="s">
        <v>58</v>
      </c>
      <c r="B649" t="s">
        <v>25</v>
      </c>
      <c r="C649" s="209" t="s">
        <v>26</v>
      </c>
      <c r="D649" s="210">
        <v>71000121060931</v>
      </c>
      <c r="E649" s="211">
        <v>44358</v>
      </c>
      <c r="F649" t="s">
        <v>218</v>
      </c>
      <c r="G649" t="s">
        <v>272</v>
      </c>
      <c r="H649">
        <v>2</v>
      </c>
      <c r="I649" t="s">
        <v>282</v>
      </c>
      <c r="J649" t="s">
        <v>283</v>
      </c>
      <c r="K649" t="s">
        <v>221</v>
      </c>
      <c r="L649">
        <v>1035</v>
      </c>
      <c r="M649" s="211">
        <v>44445</v>
      </c>
      <c r="N649" s="211">
        <v>44445</v>
      </c>
      <c r="O649" s="212" t="s">
        <v>241</v>
      </c>
      <c r="P649" t="s">
        <v>274</v>
      </c>
      <c r="S649">
        <v>0</v>
      </c>
      <c r="T649">
        <v>0</v>
      </c>
      <c r="U649">
        <v>0</v>
      </c>
      <c r="V649">
        <v>0</v>
      </c>
      <c r="W649">
        <v>0</v>
      </c>
      <c r="X649" s="140">
        <v>1035</v>
      </c>
      <c r="Y649" s="209">
        <f t="shared" si="10"/>
        <v>1035</v>
      </c>
      <c r="Z649">
        <v>0</v>
      </c>
      <c r="AA649">
        <v>51000121061597</v>
      </c>
      <c r="AB649" t="s">
        <v>275</v>
      </c>
      <c r="AE649"/>
      <c r="AF649"/>
      <c r="AG649" t="s">
        <v>223</v>
      </c>
      <c r="AN649" t="s">
        <v>218</v>
      </c>
      <c r="AO649" t="s">
        <v>276</v>
      </c>
      <c r="AP649" t="s">
        <v>225</v>
      </c>
      <c r="AQ649">
        <v>0.13</v>
      </c>
      <c r="AR649" t="s">
        <v>277</v>
      </c>
    </row>
    <row r="650" hidden="1" spans="1:44">
      <c r="A650" t="s">
        <v>58</v>
      </c>
      <c r="B650" t="s">
        <v>25</v>
      </c>
      <c r="C650" s="209" t="s">
        <v>26</v>
      </c>
      <c r="D650" s="210">
        <v>71000121060931</v>
      </c>
      <c r="E650" s="211">
        <v>44358</v>
      </c>
      <c r="F650" t="s">
        <v>218</v>
      </c>
      <c r="G650" t="s">
        <v>272</v>
      </c>
      <c r="H650">
        <v>3</v>
      </c>
      <c r="I650" t="s">
        <v>90</v>
      </c>
      <c r="J650" t="s">
        <v>269</v>
      </c>
      <c r="K650" t="s">
        <v>221</v>
      </c>
      <c r="L650">
        <v>1155</v>
      </c>
      <c r="M650" s="211">
        <v>44389</v>
      </c>
      <c r="N650" s="211">
        <v>44378</v>
      </c>
      <c r="O650" s="212" t="s">
        <v>60</v>
      </c>
      <c r="P650" t="s">
        <v>274</v>
      </c>
      <c r="S650">
        <v>504</v>
      </c>
      <c r="T650">
        <v>504</v>
      </c>
      <c r="U650">
        <v>0</v>
      </c>
      <c r="V650">
        <v>504</v>
      </c>
      <c r="W650">
        <v>0</v>
      </c>
      <c r="X650" s="140">
        <v>651</v>
      </c>
      <c r="Y650" s="209">
        <f t="shared" si="10"/>
        <v>651</v>
      </c>
      <c r="Z650">
        <v>0</v>
      </c>
      <c r="AA650">
        <v>51000121061597</v>
      </c>
      <c r="AB650" t="s">
        <v>275</v>
      </c>
      <c r="AE650">
        <v>44377</v>
      </c>
      <c r="AF650">
        <v>44377</v>
      </c>
      <c r="AG650" t="s">
        <v>223</v>
      </c>
      <c r="AN650" t="s">
        <v>218</v>
      </c>
      <c r="AO650" t="s">
        <v>276</v>
      </c>
      <c r="AP650" t="s">
        <v>225</v>
      </c>
      <c r="AQ650">
        <v>0.13</v>
      </c>
      <c r="AR650" t="s">
        <v>277</v>
      </c>
    </row>
    <row r="651" hidden="1" spans="1:44">
      <c r="A651" t="s">
        <v>58</v>
      </c>
      <c r="B651" t="s">
        <v>25</v>
      </c>
      <c r="C651" s="209" t="s">
        <v>26</v>
      </c>
      <c r="D651" s="210">
        <v>71000121060931</v>
      </c>
      <c r="E651" s="211">
        <v>44358</v>
      </c>
      <c r="F651" t="s">
        <v>218</v>
      </c>
      <c r="G651" t="s">
        <v>272</v>
      </c>
      <c r="H651">
        <v>4</v>
      </c>
      <c r="I651" t="s">
        <v>85</v>
      </c>
      <c r="J651" t="s">
        <v>278</v>
      </c>
      <c r="K651" t="s">
        <v>221</v>
      </c>
      <c r="L651">
        <v>215</v>
      </c>
      <c r="M651" s="211">
        <v>44396</v>
      </c>
      <c r="N651" s="211">
        <v>44396</v>
      </c>
      <c r="O651" s="212" t="s">
        <v>60</v>
      </c>
      <c r="P651" t="s">
        <v>274</v>
      </c>
      <c r="S651">
        <v>0</v>
      </c>
      <c r="T651">
        <v>0</v>
      </c>
      <c r="U651">
        <v>0</v>
      </c>
      <c r="V651">
        <v>0</v>
      </c>
      <c r="W651">
        <v>0</v>
      </c>
      <c r="X651" s="140">
        <v>215</v>
      </c>
      <c r="Y651" s="209">
        <f t="shared" si="10"/>
        <v>215</v>
      </c>
      <c r="Z651">
        <v>0</v>
      </c>
      <c r="AA651">
        <v>51000121061597</v>
      </c>
      <c r="AB651" t="s">
        <v>275</v>
      </c>
      <c r="AE651"/>
      <c r="AF651"/>
      <c r="AG651" t="s">
        <v>223</v>
      </c>
      <c r="AN651" t="s">
        <v>218</v>
      </c>
      <c r="AO651" t="s">
        <v>276</v>
      </c>
      <c r="AP651" t="s">
        <v>225</v>
      </c>
      <c r="AQ651">
        <v>0.13</v>
      </c>
      <c r="AR651" t="s">
        <v>277</v>
      </c>
    </row>
    <row r="652" hidden="1" spans="1:44">
      <c r="A652" t="s">
        <v>58</v>
      </c>
      <c r="B652" t="s">
        <v>25</v>
      </c>
      <c r="C652" s="209" t="s">
        <v>26</v>
      </c>
      <c r="D652" s="210">
        <v>71000121061193</v>
      </c>
      <c r="E652" s="211">
        <v>44362</v>
      </c>
      <c r="F652" t="s">
        <v>218</v>
      </c>
      <c r="G652" t="s">
        <v>272</v>
      </c>
      <c r="H652">
        <v>1</v>
      </c>
      <c r="I652" t="s">
        <v>85</v>
      </c>
      <c r="J652" t="s">
        <v>278</v>
      </c>
      <c r="K652" t="s">
        <v>221</v>
      </c>
      <c r="L652">
        <v>159</v>
      </c>
      <c r="M652" s="211">
        <v>44396</v>
      </c>
      <c r="N652" s="211">
        <v>44396</v>
      </c>
      <c r="O652" s="212" t="s">
        <v>60</v>
      </c>
      <c r="P652" t="s">
        <v>274</v>
      </c>
      <c r="S652">
        <v>0</v>
      </c>
      <c r="T652">
        <v>0</v>
      </c>
      <c r="U652">
        <v>0</v>
      </c>
      <c r="V652">
        <v>0</v>
      </c>
      <c r="W652">
        <v>0</v>
      </c>
      <c r="X652" s="140">
        <v>159</v>
      </c>
      <c r="Y652" s="209">
        <f t="shared" si="10"/>
        <v>159</v>
      </c>
      <c r="Z652">
        <v>0</v>
      </c>
      <c r="AA652">
        <v>51000121061874</v>
      </c>
      <c r="AB652" t="s">
        <v>275</v>
      </c>
      <c r="AE652"/>
      <c r="AF652"/>
      <c r="AG652" t="s">
        <v>223</v>
      </c>
      <c r="AN652" t="s">
        <v>218</v>
      </c>
      <c r="AO652" t="s">
        <v>276</v>
      </c>
      <c r="AP652" t="s">
        <v>225</v>
      </c>
      <c r="AQ652">
        <v>0.13</v>
      </c>
      <c r="AR652" t="s">
        <v>277</v>
      </c>
    </row>
    <row r="653" hidden="1" spans="1:44">
      <c r="A653" t="s">
        <v>58</v>
      </c>
      <c r="B653" t="s">
        <v>25</v>
      </c>
      <c r="C653" s="209" t="s">
        <v>26</v>
      </c>
      <c r="D653" s="210">
        <v>71000121061583</v>
      </c>
      <c r="E653" s="211">
        <v>44366</v>
      </c>
      <c r="F653" t="s">
        <v>218</v>
      </c>
      <c r="G653" t="s">
        <v>272</v>
      </c>
      <c r="H653">
        <v>1</v>
      </c>
      <c r="I653" t="s">
        <v>77</v>
      </c>
      <c r="J653" t="s">
        <v>240</v>
      </c>
      <c r="K653" t="s">
        <v>221</v>
      </c>
      <c r="L653">
        <v>8</v>
      </c>
      <c r="M653" s="211">
        <v>44381</v>
      </c>
      <c r="N653" s="211">
        <v>44393</v>
      </c>
      <c r="O653" s="212" t="s">
        <v>60</v>
      </c>
      <c r="P653" t="s">
        <v>274</v>
      </c>
      <c r="S653">
        <v>0</v>
      </c>
      <c r="T653">
        <v>0</v>
      </c>
      <c r="U653">
        <v>0</v>
      </c>
      <c r="V653">
        <v>0</v>
      </c>
      <c r="W653">
        <v>0</v>
      </c>
      <c r="X653" s="140">
        <v>8</v>
      </c>
      <c r="Y653" s="209">
        <f t="shared" si="10"/>
        <v>8</v>
      </c>
      <c r="Z653">
        <v>0</v>
      </c>
      <c r="AA653">
        <v>51000121062670</v>
      </c>
      <c r="AB653" t="s">
        <v>275</v>
      </c>
      <c r="AE653"/>
      <c r="AF653"/>
      <c r="AG653" t="s">
        <v>223</v>
      </c>
      <c r="AN653" t="s">
        <v>218</v>
      </c>
      <c r="AO653" t="s">
        <v>276</v>
      </c>
      <c r="AP653" t="s">
        <v>225</v>
      </c>
      <c r="AQ653">
        <v>0.13</v>
      </c>
      <c r="AR653" t="s">
        <v>277</v>
      </c>
    </row>
    <row r="654" hidden="1" spans="1:44">
      <c r="A654" t="s">
        <v>58</v>
      </c>
      <c r="B654" t="s">
        <v>25</v>
      </c>
      <c r="C654" s="209" t="s">
        <v>26</v>
      </c>
      <c r="D654" s="210">
        <v>71000121061583</v>
      </c>
      <c r="E654" s="211">
        <v>44366</v>
      </c>
      <c r="F654" t="s">
        <v>218</v>
      </c>
      <c r="G654" t="s">
        <v>272</v>
      </c>
      <c r="H654">
        <v>2</v>
      </c>
      <c r="I654" t="s">
        <v>282</v>
      </c>
      <c r="J654" t="s">
        <v>283</v>
      </c>
      <c r="K654" t="s">
        <v>221</v>
      </c>
      <c r="L654">
        <v>2764</v>
      </c>
      <c r="M654" s="211">
        <v>44445</v>
      </c>
      <c r="N654" s="211">
        <v>44445</v>
      </c>
      <c r="O654" s="212" t="s">
        <v>241</v>
      </c>
      <c r="P654" t="s">
        <v>274</v>
      </c>
      <c r="S654">
        <v>0</v>
      </c>
      <c r="T654">
        <v>0</v>
      </c>
      <c r="U654">
        <v>0</v>
      </c>
      <c r="V654">
        <v>0</v>
      </c>
      <c r="W654">
        <v>0</v>
      </c>
      <c r="X654" s="140">
        <v>2764</v>
      </c>
      <c r="Y654" s="209">
        <f t="shared" si="10"/>
        <v>2764</v>
      </c>
      <c r="Z654">
        <v>0</v>
      </c>
      <c r="AA654">
        <v>51000121062670</v>
      </c>
      <c r="AB654" t="s">
        <v>275</v>
      </c>
      <c r="AE654"/>
      <c r="AF654"/>
      <c r="AG654" t="s">
        <v>223</v>
      </c>
      <c r="AN654" t="s">
        <v>218</v>
      </c>
      <c r="AO654" t="s">
        <v>276</v>
      </c>
      <c r="AP654" t="s">
        <v>225</v>
      </c>
      <c r="AQ654">
        <v>0.13</v>
      </c>
      <c r="AR654" t="s">
        <v>277</v>
      </c>
    </row>
    <row r="655" hidden="1" spans="1:44">
      <c r="A655" t="s">
        <v>58</v>
      </c>
      <c r="B655" t="s">
        <v>25</v>
      </c>
      <c r="C655" s="209" t="s">
        <v>26</v>
      </c>
      <c r="D655" s="210">
        <v>71000121061583</v>
      </c>
      <c r="E655" s="211">
        <v>44366</v>
      </c>
      <c r="F655" t="s">
        <v>218</v>
      </c>
      <c r="G655" t="s">
        <v>272</v>
      </c>
      <c r="H655">
        <v>3</v>
      </c>
      <c r="I655" t="s">
        <v>282</v>
      </c>
      <c r="J655" t="s">
        <v>283</v>
      </c>
      <c r="K655" t="s">
        <v>221</v>
      </c>
      <c r="L655">
        <v>1036</v>
      </c>
      <c r="M655" s="211">
        <v>44452</v>
      </c>
      <c r="N655" s="211">
        <v>44452</v>
      </c>
      <c r="O655" s="212" t="s">
        <v>241</v>
      </c>
      <c r="P655" t="s">
        <v>274</v>
      </c>
      <c r="S655">
        <v>0</v>
      </c>
      <c r="T655">
        <v>0</v>
      </c>
      <c r="U655">
        <v>0</v>
      </c>
      <c r="V655">
        <v>0</v>
      </c>
      <c r="W655">
        <v>0</v>
      </c>
      <c r="X655" s="140">
        <v>1036</v>
      </c>
      <c r="Y655" s="209">
        <f t="shared" si="10"/>
        <v>1036</v>
      </c>
      <c r="Z655">
        <v>0</v>
      </c>
      <c r="AA655">
        <v>51000121062670</v>
      </c>
      <c r="AB655" t="s">
        <v>275</v>
      </c>
      <c r="AE655"/>
      <c r="AF655"/>
      <c r="AG655" t="s">
        <v>223</v>
      </c>
      <c r="AN655" t="s">
        <v>218</v>
      </c>
      <c r="AO655" t="s">
        <v>276</v>
      </c>
      <c r="AP655" t="s">
        <v>225</v>
      </c>
      <c r="AQ655">
        <v>0.13</v>
      </c>
      <c r="AR655" t="s">
        <v>277</v>
      </c>
    </row>
    <row r="656" hidden="1" spans="1:44">
      <c r="A656" t="s">
        <v>58</v>
      </c>
      <c r="B656" t="s">
        <v>25</v>
      </c>
      <c r="C656" s="209" t="s">
        <v>26</v>
      </c>
      <c r="D656" s="210">
        <v>71000121061583</v>
      </c>
      <c r="E656" s="211">
        <v>44366</v>
      </c>
      <c r="F656" t="s">
        <v>218</v>
      </c>
      <c r="G656" t="s">
        <v>272</v>
      </c>
      <c r="H656">
        <v>4</v>
      </c>
      <c r="I656" t="s">
        <v>282</v>
      </c>
      <c r="J656" t="s">
        <v>283</v>
      </c>
      <c r="K656" t="s">
        <v>221</v>
      </c>
      <c r="L656">
        <v>2071</v>
      </c>
      <c r="M656" s="211">
        <v>44459</v>
      </c>
      <c r="N656" s="211">
        <v>44459</v>
      </c>
      <c r="O656" s="212" t="s">
        <v>241</v>
      </c>
      <c r="P656" t="s">
        <v>274</v>
      </c>
      <c r="S656">
        <v>0</v>
      </c>
      <c r="T656">
        <v>0</v>
      </c>
      <c r="U656">
        <v>0</v>
      </c>
      <c r="V656">
        <v>0</v>
      </c>
      <c r="W656">
        <v>0</v>
      </c>
      <c r="X656" s="140">
        <v>2071</v>
      </c>
      <c r="Y656" s="209">
        <f t="shared" si="10"/>
        <v>2071</v>
      </c>
      <c r="Z656">
        <v>0</v>
      </c>
      <c r="AA656">
        <v>51000121062670</v>
      </c>
      <c r="AB656" t="s">
        <v>275</v>
      </c>
      <c r="AE656"/>
      <c r="AF656"/>
      <c r="AG656" t="s">
        <v>223</v>
      </c>
      <c r="AN656" t="s">
        <v>218</v>
      </c>
      <c r="AO656" t="s">
        <v>276</v>
      </c>
      <c r="AP656" t="s">
        <v>225</v>
      </c>
      <c r="AQ656">
        <v>0.13</v>
      </c>
      <c r="AR656" t="s">
        <v>277</v>
      </c>
    </row>
    <row r="657" hidden="1" spans="1:44">
      <c r="A657" t="s">
        <v>58</v>
      </c>
      <c r="B657" t="s">
        <v>25</v>
      </c>
      <c r="C657" s="209" t="s">
        <v>26</v>
      </c>
      <c r="D657" s="210">
        <v>71000121061583</v>
      </c>
      <c r="E657" s="211">
        <v>44366</v>
      </c>
      <c r="F657" t="s">
        <v>218</v>
      </c>
      <c r="G657" t="s">
        <v>272</v>
      </c>
      <c r="H657">
        <v>5</v>
      </c>
      <c r="I657" t="s">
        <v>87</v>
      </c>
      <c r="J657" t="s">
        <v>279</v>
      </c>
      <c r="K657" t="s">
        <v>221</v>
      </c>
      <c r="L657">
        <v>1307</v>
      </c>
      <c r="M657" s="211">
        <v>44397</v>
      </c>
      <c r="N657" s="211">
        <v>44397</v>
      </c>
      <c r="O657" s="212" t="s">
        <v>60</v>
      </c>
      <c r="P657" t="s">
        <v>274</v>
      </c>
      <c r="S657">
        <v>0</v>
      </c>
      <c r="T657">
        <v>0</v>
      </c>
      <c r="U657">
        <v>0</v>
      </c>
      <c r="V657">
        <v>0</v>
      </c>
      <c r="W657">
        <v>0</v>
      </c>
      <c r="X657" s="140">
        <v>1307</v>
      </c>
      <c r="Y657" s="209">
        <f t="shared" si="10"/>
        <v>1307</v>
      </c>
      <c r="Z657">
        <v>0</v>
      </c>
      <c r="AA657">
        <v>51000121062670</v>
      </c>
      <c r="AB657" t="s">
        <v>275</v>
      </c>
      <c r="AE657"/>
      <c r="AF657"/>
      <c r="AG657" t="s">
        <v>223</v>
      </c>
      <c r="AN657" t="s">
        <v>218</v>
      </c>
      <c r="AO657" t="s">
        <v>276</v>
      </c>
      <c r="AP657" t="s">
        <v>225</v>
      </c>
      <c r="AQ657">
        <v>0.13</v>
      </c>
      <c r="AR657" t="s">
        <v>277</v>
      </c>
    </row>
    <row r="658" hidden="1" spans="1:44">
      <c r="A658" t="s">
        <v>58</v>
      </c>
      <c r="B658" t="s">
        <v>25</v>
      </c>
      <c r="C658" s="209" t="s">
        <v>26</v>
      </c>
      <c r="D658" s="210">
        <v>71000121061583</v>
      </c>
      <c r="E658" s="211">
        <v>44366</v>
      </c>
      <c r="F658" t="s">
        <v>218</v>
      </c>
      <c r="G658" t="s">
        <v>272</v>
      </c>
      <c r="H658">
        <v>6</v>
      </c>
      <c r="I658" t="s">
        <v>87</v>
      </c>
      <c r="J658" t="s">
        <v>279</v>
      </c>
      <c r="K658" t="s">
        <v>221</v>
      </c>
      <c r="L658">
        <v>2364</v>
      </c>
      <c r="M658" s="211">
        <v>44403</v>
      </c>
      <c r="N658" s="211">
        <v>44403</v>
      </c>
      <c r="O658" s="212" t="s">
        <v>60</v>
      </c>
      <c r="P658" t="s">
        <v>274</v>
      </c>
      <c r="S658">
        <v>0</v>
      </c>
      <c r="T658">
        <v>0</v>
      </c>
      <c r="U658">
        <v>0</v>
      </c>
      <c r="V658">
        <v>0</v>
      </c>
      <c r="W658">
        <v>0</v>
      </c>
      <c r="X658" s="140">
        <v>2364</v>
      </c>
      <c r="Y658" s="209">
        <f t="shared" si="10"/>
        <v>2364</v>
      </c>
      <c r="Z658">
        <v>0</v>
      </c>
      <c r="AA658">
        <v>51000121062670</v>
      </c>
      <c r="AB658" t="s">
        <v>275</v>
      </c>
      <c r="AE658"/>
      <c r="AF658"/>
      <c r="AG658" t="s">
        <v>223</v>
      </c>
      <c r="AN658" t="s">
        <v>218</v>
      </c>
      <c r="AO658" t="s">
        <v>276</v>
      </c>
      <c r="AP658" t="s">
        <v>225</v>
      </c>
      <c r="AQ658">
        <v>0.13</v>
      </c>
      <c r="AR658" t="s">
        <v>277</v>
      </c>
    </row>
    <row r="659" hidden="1" spans="1:44">
      <c r="A659" t="s">
        <v>58</v>
      </c>
      <c r="B659" t="s">
        <v>25</v>
      </c>
      <c r="C659" s="209" t="s">
        <v>26</v>
      </c>
      <c r="D659" s="210">
        <v>71000121061583</v>
      </c>
      <c r="E659" s="211">
        <v>44366</v>
      </c>
      <c r="F659" t="s">
        <v>218</v>
      </c>
      <c r="G659" t="s">
        <v>272</v>
      </c>
      <c r="H659">
        <v>7</v>
      </c>
      <c r="I659" t="s">
        <v>90</v>
      </c>
      <c r="J659" t="s">
        <v>269</v>
      </c>
      <c r="K659" t="s">
        <v>221</v>
      </c>
      <c r="L659">
        <v>4076</v>
      </c>
      <c r="M659" s="211">
        <v>44415</v>
      </c>
      <c r="N659" s="211">
        <v>44415</v>
      </c>
      <c r="O659" s="212" t="s">
        <v>227</v>
      </c>
      <c r="P659" t="s">
        <v>274</v>
      </c>
      <c r="S659">
        <v>0</v>
      </c>
      <c r="T659">
        <v>0</v>
      </c>
      <c r="U659">
        <v>0</v>
      </c>
      <c r="V659">
        <v>0</v>
      </c>
      <c r="W659">
        <v>0</v>
      </c>
      <c r="X659" s="140">
        <v>4076</v>
      </c>
      <c r="Y659" s="209">
        <f t="shared" si="10"/>
        <v>4076</v>
      </c>
      <c r="Z659">
        <v>0</v>
      </c>
      <c r="AA659">
        <v>51000121062670</v>
      </c>
      <c r="AB659" t="s">
        <v>275</v>
      </c>
      <c r="AE659"/>
      <c r="AF659"/>
      <c r="AG659" t="s">
        <v>223</v>
      </c>
      <c r="AN659" t="s">
        <v>218</v>
      </c>
      <c r="AO659" t="s">
        <v>276</v>
      </c>
      <c r="AP659" t="s">
        <v>225</v>
      </c>
      <c r="AQ659">
        <v>0.13</v>
      </c>
      <c r="AR659" t="s">
        <v>277</v>
      </c>
    </row>
    <row r="660" hidden="1" spans="1:44">
      <c r="A660" t="s">
        <v>58</v>
      </c>
      <c r="B660" t="s">
        <v>25</v>
      </c>
      <c r="C660" s="209" t="s">
        <v>26</v>
      </c>
      <c r="D660" s="210">
        <v>71000121061583</v>
      </c>
      <c r="E660" s="211">
        <v>44366</v>
      </c>
      <c r="F660" t="s">
        <v>218</v>
      </c>
      <c r="G660" t="s">
        <v>272</v>
      </c>
      <c r="H660">
        <v>8</v>
      </c>
      <c r="I660" t="s">
        <v>90</v>
      </c>
      <c r="J660" t="s">
        <v>269</v>
      </c>
      <c r="K660" t="s">
        <v>221</v>
      </c>
      <c r="L660">
        <v>2606</v>
      </c>
      <c r="M660" s="211">
        <v>44431</v>
      </c>
      <c r="N660" s="211">
        <v>44431</v>
      </c>
      <c r="O660" s="212" t="s">
        <v>227</v>
      </c>
      <c r="P660" t="s">
        <v>274</v>
      </c>
      <c r="S660">
        <v>0</v>
      </c>
      <c r="T660">
        <v>0</v>
      </c>
      <c r="U660">
        <v>0</v>
      </c>
      <c r="V660">
        <v>0</v>
      </c>
      <c r="W660">
        <v>0</v>
      </c>
      <c r="X660" s="140">
        <v>2606</v>
      </c>
      <c r="Y660" s="209">
        <f t="shared" si="10"/>
        <v>2606</v>
      </c>
      <c r="Z660">
        <v>0</v>
      </c>
      <c r="AA660">
        <v>51000121062670</v>
      </c>
      <c r="AB660" t="s">
        <v>275</v>
      </c>
      <c r="AE660"/>
      <c r="AF660"/>
      <c r="AG660" t="s">
        <v>223</v>
      </c>
      <c r="AN660" t="s">
        <v>218</v>
      </c>
      <c r="AO660" t="s">
        <v>276</v>
      </c>
      <c r="AP660" t="s">
        <v>225</v>
      </c>
      <c r="AQ660">
        <v>0.13</v>
      </c>
      <c r="AR660" t="s">
        <v>277</v>
      </c>
    </row>
    <row r="661" hidden="1" spans="1:44">
      <c r="A661" t="s">
        <v>58</v>
      </c>
      <c r="B661" t="s">
        <v>25</v>
      </c>
      <c r="C661" s="209" t="s">
        <v>26</v>
      </c>
      <c r="D661" s="210">
        <v>71000121061583</v>
      </c>
      <c r="E661" s="211">
        <v>44366</v>
      </c>
      <c r="F661" t="s">
        <v>218</v>
      </c>
      <c r="G661" t="s">
        <v>272</v>
      </c>
      <c r="H661">
        <v>9</v>
      </c>
      <c r="I661" t="s">
        <v>83</v>
      </c>
      <c r="J661" t="s">
        <v>278</v>
      </c>
      <c r="K661" t="s">
        <v>221</v>
      </c>
      <c r="L661">
        <v>1</v>
      </c>
      <c r="M661" s="211">
        <v>44389</v>
      </c>
      <c r="N661" s="211">
        <v>44403</v>
      </c>
      <c r="O661" s="212" t="s">
        <v>60</v>
      </c>
      <c r="P661" t="s">
        <v>274</v>
      </c>
      <c r="S661">
        <v>0</v>
      </c>
      <c r="T661">
        <v>0</v>
      </c>
      <c r="U661">
        <v>0</v>
      </c>
      <c r="V661">
        <v>0</v>
      </c>
      <c r="W661">
        <v>0</v>
      </c>
      <c r="X661" s="140">
        <v>1</v>
      </c>
      <c r="Y661" s="209">
        <f t="shared" si="10"/>
        <v>1</v>
      </c>
      <c r="Z661">
        <v>0</v>
      </c>
      <c r="AA661">
        <v>51000121062670</v>
      </c>
      <c r="AB661" t="s">
        <v>275</v>
      </c>
      <c r="AE661"/>
      <c r="AF661"/>
      <c r="AG661" t="s">
        <v>223</v>
      </c>
      <c r="AN661" t="s">
        <v>218</v>
      </c>
      <c r="AO661" t="s">
        <v>276</v>
      </c>
      <c r="AP661" t="s">
        <v>225</v>
      </c>
      <c r="AQ661">
        <v>0.13</v>
      </c>
      <c r="AR661" t="s">
        <v>277</v>
      </c>
    </row>
    <row r="662" hidden="1" spans="1:44">
      <c r="A662" t="s">
        <v>58</v>
      </c>
      <c r="B662" t="s">
        <v>25</v>
      </c>
      <c r="C662" s="209" t="s">
        <v>26</v>
      </c>
      <c r="D662" s="210">
        <v>71000121061583</v>
      </c>
      <c r="E662" s="211">
        <v>44366</v>
      </c>
      <c r="F662" t="s">
        <v>218</v>
      </c>
      <c r="G662" t="s">
        <v>272</v>
      </c>
      <c r="H662">
        <v>10</v>
      </c>
      <c r="I662" t="s">
        <v>85</v>
      </c>
      <c r="J662" t="s">
        <v>278</v>
      </c>
      <c r="K662" t="s">
        <v>221</v>
      </c>
      <c r="L662">
        <v>1535</v>
      </c>
      <c r="M662" s="211">
        <v>44401</v>
      </c>
      <c r="N662" s="211">
        <v>44401</v>
      </c>
      <c r="O662" s="212" t="s">
        <v>60</v>
      </c>
      <c r="P662" t="s">
        <v>274</v>
      </c>
      <c r="S662">
        <v>0</v>
      </c>
      <c r="T662">
        <v>0</v>
      </c>
      <c r="U662">
        <v>0</v>
      </c>
      <c r="V662">
        <v>0</v>
      </c>
      <c r="W662">
        <v>0</v>
      </c>
      <c r="X662" s="140">
        <v>1535</v>
      </c>
      <c r="Y662" s="209">
        <f t="shared" si="10"/>
        <v>1535</v>
      </c>
      <c r="Z662">
        <v>0</v>
      </c>
      <c r="AA662">
        <v>51000121062670</v>
      </c>
      <c r="AB662" t="s">
        <v>275</v>
      </c>
      <c r="AE662"/>
      <c r="AF662"/>
      <c r="AG662" t="s">
        <v>223</v>
      </c>
      <c r="AN662" t="s">
        <v>218</v>
      </c>
      <c r="AO662" t="s">
        <v>276</v>
      </c>
      <c r="AP662" t="s">
        <v>225</v>
      </c>
      <c r="AQ662">
        <v>0.13</v>
      </c>
      <c r="AR662" t="s">
        <v>277</v>
      </c>
    </row>
    <row r="663" hidden="1" spans="1:44">
      <c r="A663" t="s">
        <v>58</v>
      </c>
      <c r="B663" t="s">
        <v>25</v>
      </c>
      <c r="C663" s="209" t="s">
        <v>26</v>
      </c>
      <c r="D663" s="210">
        <v>71000121061583</v>
      </c>
      <c r="E663" s="211">
        <v>44366</v>
      </c>
      <c r="F663" t="s">
        <v>218</v>
      </c>
      <c r="G663" t="s">
        <v>272</v>
      </c>
      <c r="H663">
        <v>11</v>
      </c>
      <c r="I663" t="s">
        <v>85</v>
      </c>
      <c r="J663" t="s">
        <v>278</v>
      </c>
      <c r="K663" t="s">
        <v>221</v>
      </c>
      <c r="L663">
        <v>1882</v>
      </c>
      <c r="M663" s="211">
        <v>44473</v>
      </c>
      <c r="N663" s="211">
        <v>44473</v>
      </c>
      <c r="O663" s="212" t="s">
        <v>252</v>
      </c>
      <c r="P663" t="s">
        <v>274</v>
      </c>
      <c r="S663">
        <v>0</v>
      </c>
      <c r="T663">
        <v>0</v>
      </c>
      <c r="U663">
        <v>0</v>
      </c>
      <c r="V663">
        <v>0</v>
      </c>
      <c r="W663">
        <v>0</v>
      </c>
      <c r="X663" s="140">
        <v>1882</v>
      </c>
      <c r="Y663" s="209">
        <f t="shared" si="10"/>
        <v>1882</v>
      </c>
      <c r="Z663">
        <v>0</v>
      </c>
      <c r="AA663">
        <v>51000121062670</v>
      </c>
      <c r="AB663" t="s">
        <v>275</v>
      </c>
      <c r="AE663"/>
      <c r="AF663"/>
      <c r="AG663" t="s">
        <v>223</v>
      </c>
      <c r="AN663" t="s">
        <v>218</v>
      </c>
      <c r="AO663" t="s">
        <v>276</v>
      </c>
      <c r="AP663" t="s">
        <v>225</v>
      </c>
      <c r="AQ663">
        <v>0.13</v>
      </c>
      <c r="AR663" t="s">
        <v>277</v>
      </c>
    </row>
    <row r="664" hidden="1" spans="1:44">
      <c r="A664" t="s">
        <v>58</v>
      </c>
      <c r="B664" t="s">
        <v>25</v>
      </c>
      <c r="C664" s="209" t="s">
        <v>26</v>
      </c>
      <c r="D664" s="210">
        <v>71000121061809</v>
      </c>
      <c r="E664" s="211">
        <v>44369</v>
      </c>
      <c r="F664" t="s">
        <v>218</v>
      </c>
      <c r="G664" t="s">
        <v>272</v>
      </c>
      <c r="H664">
        <v>1</v>
      </c>
      <c r="I664" t="s">
        <v>77</v>
      </c>
      <c r="J664" t="s">
        <v>240</v>
      </c>
      <c r="K664" t="s">
        <v>221</v>
      </c>
      <c r="L664">
        <v>13</v>
      </c>
      <c r="M664" s="211">
        <v>44382</v>
      </c>
      <c r="N664" s="211">
        <v>44393</v>
      </c>
      <c r="O664" s="212" t="s">
        <v>60</v>
      </c>
      <c r="P664" t="s">
        <v>274</v>
      </c>
      <c r="S664">
        <v>0</v>
      </c>
      <c r="T664">
        <v>0</v>
      </c>
      <c r="U664">
        <v>0</v>
      </c>
      <c r="V664">
        <v>0</v>
      </c>
      <c r="W664">
        <v>0</v>
      </c>
      <c r="X664" s="140">
        <v>13</v>
      </c>
      <c r="Y664" s="209">
        <f t="shared" si="10"/>
        <v>13</v>
      </c>
      <c r="Z664">
        <v>0</v>
      </c>
      <c r="AA664">
        <v>51000121063059</v>
      </c>
      <c r="AB664" t="s">
        <v>275</v>
      </c>
      <c r="AE664"/>
      <c r="AF664"/>
      <c r="AG664" t="s">
        <v>223</v>
      </c>
      <c r="AN664" t="s">
        <v>218</v>
      </c>
      <c r="AO664" t="s">
        <v>276</v>
      </c>
      <c r="AP664" t="s">
        <v>225</v>
      </c>
      <c r="AQ664">
        <v>0.13</v>
      </c>
      <c r="AR664" t="s">
        <v>277</v>
      </c>
    </row>
    <row r="665" hidden="1" spans="1:44">
      <c r="A665" t="s">
        <v>58</v>
      </c>
      <c r="B665" t="s">
        <v>25</v>
      </c>
      <c r="C665" s="209" t="s">
        <v>26</v>
      </c>
      <c r="D665" s="210">
        <v>71000121061809</v>
      </c>
      <c r="E665" s="211">
        <v>44369</v>
      </c>
      <c r="F665" t="s">
        <v>218</v>
      </c>
      <c r="G665" t="s">
        <v>272</v>
      </c>
      <c r="H665">
        <v>2</v>
      </c>
      <c r="I665" t="s">
        <v>282</v>
      </c>
      <c r="J665" t="s">
        <v>283</v>
      </c>
      <c r="K665" t="s">
        <v>221</v>
      </c>
      <c r="L665">
        <v>206</v>
      </c>
      <c r="M665" s="211">
        <v>44459</v>
      </c>
      <c r="N665" s="211">
        <v>44459</v>
      </c>
      <c r="O665" s="212" t="s">
        <v>241</v>
      </c>
      <c r="P665" t="s">
        <v>274</v>
      </c>
      <c r="S665">
        <v>0</v>
      </c>
      <c r="T665">
        <v>0</v>
      </c>
      <c r="U665">
        <v>0</v>
      </c>
      <c r="V665">
        <v>0</v>
      </c>
      <c r="W665">
        <v>0</v>
      </c>
      <c r="X665" s="140">
        <v>206</v>
      </c>
      <c r="Y665" s="209">
        <f t="shared" si="10"/>
        <v>206</v>
      </c>
      <c r="Z665">
        <v>0</v>
      </c>
      <c r="AA665">
        <v>51000121063059</v>
      </c>
      <c r="AB665" t="s">
        <v>275</v>
      </c>
      <c r="AE665"/>
      <c r="AF665"/>
      <c r="AG665" t="s">
        <v>223</v>
      </c>
      <c r="AN665" t="s">
        <v>218</v>
      </c>
      <c r="AO665" t="s">
        <v>276</v>
      </c>
      <c r="AP665" t="s">
        <v>225</v>
      </c>
      <c r="AQ665">
        <v>0.13</v>
      </c>
      <c r="AR665" t="s">
        <v>277</v>
      </c>
    </row>
    <row r="666" hidden="1" spans="1:44">
      <c r="A666" t="s">
        <v>58</v>
      </c>
      <c r="B666" t="s">
        <v>25</v>
      </c>
      <c r="C666" s="209" t="s">
        <v>26</v>
      </c>
      <c r="D666" s="210">
        <v>71000121062218</v>
      </c>
      <c r="E666" s="211">
        <v>44375</v>
      </c>
      <c r="F666" t="s">
        <v>218</v>
      </c>
      <c r="G666" t="s">
        <v>272</v>
      </c>
      <c r="H666">
        <v>1</v>
      </c>
      <c r="I666" t="s">
        <v>78</v>
      </c>
      <c r="J666" t="s">
        <v>240</v>
      </c>
      <c r="K666" t="s">
        <v>221</v>
      </c>
      <c r="L666">
        <v>756</v>
      </c>
      <c r="M666" s="211">
        <v>44466</v>
      </c>
      <c r="N666" s="211">
        <v>44466</v>
      </c>
      <c r="O666" s="212" t="s">
        <v>241</v>
      </c>
      <c r="P666" t="s">
        <v>274</v>
      </c>
      <c r="S666">
        <v>0</v>
      </c>
      <c r="T666">
        <v>0</v>
      </c>
      <c r="U666">
        <v>0</v>
      </c>
      <c r="V666">
        <v>0</v>
      </c>
      <c r="W666">
        <v>0</v>
      </c>
      <c r="X666" s="140">
        <v>756</v>
      </c>
      <c r="Y666" s="209">
        <f t="shared" si="10"/>
        <v>756</v>
      </c>
      <c r="Z666">
        <v>0</v>
      </c>
      <c r="AA666">
        <v>51000121063788</v>
      </c>
      <c r="AB666" t="s">
        <v>275</v>
      </c>
      <c r="AE666"/>
      <c r="AF666"/>
      <c r="AG666" t="s">
        <v>223</v>
      </c>
      <c r="AN666" t="s">
        <v>218</v>
      </c>
      <c r="AO666" t="s">
        <v>276</v>
      </c>
      <c r="AP666" t="s">
        <v>225</v>
      </c>
      <c r="AQ666">
        <v>0.13</v>
      </c>
      <c r="AR666" t="s">
        <v>277</v>
      </c>
    </row>
    <row r="667" hidden="1" spans="1:44">
      <c r="A667" t="s">
        <v>58</v>
      </c>
      <c r="B667" t="s">
        <v>25</v>
      </c>
      <c r="C667" s="209" t="s">
        <v>26</v>
      </c>
      <c r="D667" s="210">
        <v>71000121062218</v>
      </c>
      <c r="E667" s="211">
        <v>44375</v>
      </c>
      <c r="F667" t="s">
        <v>218</v>
      </c>
      <c r="G667" t="s">
        <v>272</v>
      </c>
      <c r="H667">
        <v>2</v>
      </c>
      <c r="I667" t="s">
        <v>77</v>
      </c>
      <c r="J667" t="s">
        <v>240</v>
      </c>
      <c r="K667" t="s">
        <v>221</v>
      </c>
      <c r="L667">
        <v>504</v>
      </c>
      <c r="M667" s="211">
        <v>44382</v>
      </c>
      <c r="N667" s="211">
        <v>44393</v>
      </c>
      <c r="O667" s="212" t="s">
        <v>60</v>
      </c>
      <c r="P667" t="s">
        <v>274</v>
      </c>
      <c r="S667">
        <v>0</v>
      </c>
      <c r="T667">
        <v>0</v>
      </c>
      <c r="U667">
        <v>0</v>
      </c>
      <c r="V667">
        <v>0</v>
      </c>
      <c r="W667">
        <v>0</v>
      </c>
      <c r="X667" s="140">
        <v>504</v>
      </c>
      <c r="Y667" s="209">
        <f t="shared" si="10"/>
        <v>504</v>
      </c>
      <c r="Z667">
        <v>0</v>
      </c>
      <c r="AA667">
        <v>51000121063788</v>
      </c>
      <c r="AB667" t="s">
        <v>275</v>
      </c>
      <c r="AE667"/>
      <c r="AF667"/>
      <c r="AG667" t="s">
        <v>223</v>
      </c>
      <c r="AN667" t="s">
        <v>218</v>
      </c>
      <c r="AO667" t="s">
        <v>276</v>
      </c>
      <c r="AP667" t="s">
        <v>225</v>
      </c>
      <c r="AQ667">
        <v>0.13</v>
      </c>
      <c r="AR667" t="s">
        <v>277</v>
      </c>
    </row>
    <row r="668" hidden="1" spans="1:44">
      <c r="A668" t="s">
        <v>58</v>
      </c>
      <c r="B668" t="s">
        <v>25</v>
      </c>
      <c r="C668" s="209" t="s">
        <v>26</v>
      </c>
      <c r="D668" s="210">
        <v>71000121062218</v>
      </c>
      <c r="E668" s="211">
        <v>44375</v>
      </c>
      <c r="F668" t="s">
        <v>218</v>
      </c>
      <c r="G668" t="s">
        <v>272</v>
      </c>
      <c r="H668">
        <v>3</v>
      </c>
      <c r="I668" t="s">
        <v>76</v>
      </c>
      <c r="J668" t="s">
        <v>281</v>
      </c>
      <c r="K668" t="s">
        <v>221</v>
      </c>
      <c r="L668">
        <v>17</v>
      </c>
      <c r="M668" s="211">
        <v>44389</v>
      </c>
      <c r="N668" s="211">
        <v>44403</v>
      </c>
      <c r="O668" s="212" t="s">
        <v>60</v>
      </c>
      <c r="P668" t="s">
        <v>274</v>
      </c>
      <c r="S668">
        <v>0</v>
      </c>
      <c r="T668">
        <v>0</v>
      </c>
      <c r="U668">
        <v>0</v>
      </c>
      <c r="V668">
        <v>0</v>
      </c>
      <c r="W668">
        <v>0</v>
      </c>
      <c r="X668" s="140">
        <v>17</v>
      </c>
      <c r="Y668" s="209">
        <f t="shared" si="10"/>
        <v>17</v>
      </c>
      <c r="Z668">
        <v>0</v>
      </c>
      <c r="AA668">
        <v>51000121063788</v>
      </c>
      <c r="AB668" t="s">
        <v>275</v>
      </c>
      <c r="AE668"/>
      <c r="AF668"/>
      <c r="AG668" t="s">
        <v>223</v>
      </c>
      <c r="AN668" t="s">
        <v>218</v>
      </c>
      <c r="AO668" t="s">
        <v>276</v>
      </c>
      <c r="AP668" t="s">
        <v>225</v>
      </c>
      <c r="AQ668">
        <v>0.13</v>
      </c>
      <c r="AR668" t="s">
        <v>277</v>
      </c>
    </row>
    <row r="669" hidden="1" spans="1:44">
      <c r="A669" t="s">
        <v>58</v>
      </c>
      <c r="B669" t="s">
        <v>25</v>
      </c>
      <c r="C669" s="209" t="s">
        <v>26</v>
      </c>
      <c r="D669" s="210">
        <v>71000121062218</v>
      </c>
      <c r="E669" s="211">
        <v>44375</v>
      </c>
      <c r="F669" t="s">
        <v>218</v>
      </c>
      <c r="G669" t="s">
        <v>272</v>
      </c>
      <c r="H669">
        <v>4</v>
      </c>
      <c r="I669" t="s">
        <v>282</v>
      </c>
      <c r="J669" t="s">
        <v>283</v>
      </c>
      <c r="K669" t="s">
        <v>221</v>
      </c>
      <c r="L669">
        <v>1016</v>
      </c>
      <c r="M669" s="211">
        <v>44459</v>
      </c>
      <c r="N669" s="211">
        <v>44459</v>
      </c>
      <c r="O669" s="212" t="s">
        <v>241</v>
      </c>
      <c r="P669" t="s">
        <v>274</v>
      </c>
      <c r="S669">
        <v>0</v>
      </c>
      <c r="T669">
        <v>0</v>
      </c>
      <c r="U669">
        <v>0</v>
      </c>
      <c r="V669">
        <v>0</v>
      </c>
      <c r="W669">
        <v>0</v>
      </c>
      <c r="X669" s="140">
        <v>1016</v>
      </c>
      <c r="Y669" s="209">
        <f t="shared" si="10"/>
        <v>1016</v>
      </c>
      <c r="Z669">
        <v>0</v>
      </c>
      <c r="AA669">
        <v>51000121063788</v>
      </c>
      <c r="AB669" t="s">
        <v>275</v>
      </c>
      <c r="AE669"/>
      <c r="AF669"/>
      <c r="AG669" t="s">
        <v>223</v>
      </c>
      <c r="AN669" t="s">
        <v>218</v>
      </c>
      <c r="AO669" t="s">
        <v>276</v>
      </c>
      <c r="AP669" t="s">
        <v>225</v>
      </c>
      <c r="AQ669">
        <v>0.13</v>
      </c>
      <c r="AR669" t="s">
        <v>277</v>
      </c>
    </row>
    <row r="670" hidden="1" spans="1:44">
      <c r="A670" t="s">
        <v>58</v>
      </c>
      <c r="B670" t="s">
        <v>25</v>
      </c>
      <c r="C670" s="209" t="s">
        <v>26</v>
      </c>
      <c r="D670" s="210">
        <v>71000121062218</v>
      </c>
      <c r="E670" s="211">
        <v>44375</v>
      </c>
      <c r="F670" t="s">
        <v>218</v>
      </c>
      <c r="G670" t="s">
        <v>272</v>
      </c>
      <c r="H670">
        <v>5</v>
      </c>
      <c r="I670" t="s">
        <v>284</v>
      </c>
      <c r="J670" t="s">
        <v>229</v>
      </c>
      <c r="K670" t="s">
        <v>221</v>
      </c>
      <c r="L670">
        <v>440</v>
      </c>
      <c r="M670" s="211">
        <v>44459</v>
      </c>
      <c r="N670" s="211">
        <v>44459</v>
      </c>
      <c r="O670" s="212" t="s">
        <v>241</v>
      </c>
      <c r="P670" t="s">
        <v>274</v>
      </c>
      <c r="S670">
        <v>0</v>
      </c>
      <c r="T670">
        <v>0</v>
      </c>
      <c r="U670">
        <v>0</v>
      </c>
      <c r="V670">
        <v>0</v>
      </c>
      <c r="W670">
        <v>0</v>
      </c>
      <c r="X670" s="140">
        <v>440</v>
      </c>
      <c r="Y670" s="209">
        <f t="shared" si="10"/>
        <v>440</v>
      </c>
      <c r="Z670">
        <v>0</v>
      </c>
      <c r="AA670">
        <v>51000121063788</v>
      </c>
      <c r="AB670" t="s">
        <v>275</v>
      </c>
      <c r="AE670"/>
      <c r="AF670"/>
      <c r="AG670" t="s">
        <v>223</v>
      </c>
      <c r="AN670" t="s">
        <v>218</v>
      </c>
      <c r="AO670" t="s">
        <v>276</v>
      </c>
      <c r="AP670" t="s">
        <v>225</v>
      </c>
      <c r="AQ670">
        <v>0.13</v>
      </c>
      <c r="AR670" t="s">
        <v>277</v>
      </c>
    </row>
    <row r="671" hidden="1" spans="1:44">
      <c r="A671" t="s">
        <v>58</v>
      </c>
      <c r="B671" t="s">
        <v>25</v>
      </c>
      <c r="C671" s="209" t="s">
        <v>26</v>
      </c>
      <c r="D671" s="210">
        <v>71000121062218</v>
      </c>
      <c r="E671" s="211">
        <v>44375</v>
      </c>
      <c r="F671" t="s">
        <v>218</v>
      </c>
      <c r="G671" t="s">
        <v>272</v>
      </c>
      <c r="H671">
        <v>6</v>
      </c>
      <c r="I671" t="s">
        <v>83</v>
      </c>
      <c r="J671" t="s">
        <v>278</v>
      </c>
      <c r="K671" t="s">
        <v>221</v>
      </c>
      <c r="L671">
        <v>641</v>
      </c>
      <c r="M671" s="211">
        <v>44389</v>
      </c>
      <c r="N671" s="211">
        <v>44403</v>
      </c>
      <c r="O671" s="212" t="s">
        <v>60</v>
      </c>
      <c r="P671" t="s">
        <v>274</v>
      </c>
      <c r="S671">
        <v>0</v>
      </c>
      <c r="T671">
        <v>0</v>
      </c>
      <c r="U671">
        <v>0</v>
      </c>
      <c r="V671">
        <v>0</v>
      </c>
      <c r="W671">
        <v>0</v>
      </c>
      <c r="X671" s="140">
        <v>641</v>
      </c>
      <c r="Y671" s="209">
        <f t="shared" si="10"/>
        <v>641</v>
      </c>
      <c r="Z671">
        <v>0</v>
      </c>
      <c r="AA671">
        <v>51000121063788</v>
      </c>
      <c r="AB671" t="s">
        <v>275</v>
      </c>
      <c r="AE671"/>
      <c r="AF671"/>
      <c r="AG671" t="s">
        <v>223</v>
      </c>
      <c r="AN671" t="s">
        <v>218</v>
      </c>
      <c r="AO671" t="s">
        <v>276</v>
      </c>
      <c r="AP671" t="s">
        <v>225</v>
      </c>
      <c r="AQ671">
        <v>0.13</v>
      </c>
      <c r="AR671" t="s">
        <v>277</v>
      </c>
    </row>
    <row r="672" hidden="1" spans="1:44">
      <c r="A672" t="s">
        <v>58</v>
      </c>
      <c r="B672" t="s">
        <v>25</v>
      </c>
      <c r="C672" s="209" t="s">
        <v>26</v>
      </c>
      <c r="D672" s="210">
        <v>71000121062218</v>
      </c>
      <c r="E672" s="211">
        <v>44375</v>
      </c>
      <c r="F672" t="s">
        <v>218</v>
      </c>
      <c r="G672" t="s">
        <v>272</v>
      </c>
      <c r="H672">
        <v>7</v>
      </c>
      <c r="I672" t="s">
        <v>85</v>
      </c>
      <c r="J672" t="s">
        <v>278</v>
      </c>
      <c r="K672" t="s">
        <v>221</v>
      </c>
      <c r="L672">
        <v>382</v>
      </c>
      <c r="M672" s="211">
        <v>44473</v>
      </c>
      <c r="N672" s="211">
        <v>44473</v>
      </c>
      <c r="O672" s="212" t="s">
        <v>252</v>
      </c>
      <c r="P672" t="s">
        <v>274</v>
      </c>
      <c r="S672">
        <v>0</v>
      </c>
      <c r="T672">
        <v>0</v>
      </c>
      <c r="U672">
        <v>0</v>
      </c>
      <c r="V672">
        <v>0</v>
      </c>
      <c r="W672">
        <v>0</v>
      </c>
      <c r="X672" s="140">
        <v>382</v>
      </c>
      <c r="Y672" s="209">
        <f t="shared" si="10"/>
        <v>382</v>
      </c>
      <c r="Z672">
        <v>0</v>
      </c>
      <c r="AA672">
        <v>51000121063788</v>
      </c>
      <c r="AB672" t="s">
        <v>275</v>
      </c>
      <c r="AE672"/>
      <c r="AF672"/>
      <c r="AG672" t="s">
        <v>223</v>
      </c>
      <c r="AN672" t="s">
        <v>218</v>
      </c>
      <c r="AO672" t="s">
        <v>276</v>
      </c>
      <c r="AP672" t="s">
        <v>225</v>
      </c>
      <c r="AQ672">
        <v>0.13</v>
      </c>
      <c r="AR672" t="s">
        <v>277</v>
      </c>
    </row>
    <row r="673" hidden="1" spans="1:44">
      <c r="A673" t="s">
        <v>58</v>
      </c>
      <c r="B673" t="s">
        <v>25</v>
      </c>
      <c r="C673" s="209" t="s">
        <v>26</v>
      </c>
      <c r="D673" s="210">
        <v>71000121070080</v>
      </c>
      <c r="E673" s="211">
        <v>44378</v>
      </c>
      <c r="F673" t="s">
        <v>218</v>
      </c>
      <c r="G673" t="s">
        <v>272</v>
      </c>
      <c r="H673">
        <v>1</v>
      </c>
      <c r="I673" t="s">
        <v>78</v>
      </c>
      <c r="J673" t="s">
        <v>240</v>
      </c>
      <c r="K673" t="s">
        <v>221</v>
      </c>
      <c r="L673">
        <v>1072</v>
      </c>
      <c r="M673" s="211">
        <v>44403</v>
      </c>
      <c r="N673" s="211">
        <v>44403</v>
      </c>
      <c r="O673" s="212" t="s">
        <v>60</v>
      </c>
      <c r="P673" t="s">
        <v>274</v>
      </c>
      <c r="S673">
        <v>0</v>
      </c>
      <c r="T673">
        <v>0</v>
      </c>
      <c r="U673">
        <v>0</v>
      </c>
      <c r="V673">
        <v>0</v>
      </c>
      <c r="W673">
        <v>0</v>
      </c>
      <c r="X673" s="140">
        <v>1072</v>
      </c>
      <c r="Y673" s="209">
        <f t="shared" si="10"/>
        <v>1072</v>
      </c>
      <c r="Z673">
        <v>0</v>
      </c>
      <c r="AA673">
        <v>51000121070558</v>
      </c>
      <c r="AB673" t="s">
        <v>275</v>
      </c>
      <c r="AE673"/>
      <c r="AF673"/>
      <c r="AG673" t="s">
        <v>223</v>
      </c>
      <c r="AN673" t="s">
        <v>218</v>
      </c>
      <c r="AO673" t="s">
        <v>276</v>
      </c>
      <c r="AP673" t="s">
        <v>225</v>
      </c>
      <c r="AQ673">
        <v>0.13</v>
      </c>
      <c r="AR673" t="s">
        <v>277</v>
      </c>
    </row>
    <row r="674" hidden="1" spans="1:44">
      <c r="A674" t="s">
        <v>58</v>
      </c>
      <c r="B674" t="s">
        <v>25</v>
      </c>
      <c r="C674" s="209" t="s">
        <v>26</v>
      </c>
      <c r="D674" s="210">
        <v>71000121070080</v>
      </c>
      <c r="E674" s="211">
        <v>44378</v>
      </c>
      <c r="F674" t="s">
        <v>218</v>
      </c>
      <c r="G674" t="s">
        <v>272</v>
      </c>
      <c r="H674">
        <v>2</v>
      </c>
      <c r="I674" t="s">
        <v>77</v>
      </c>
      <c r="J674" t="s">
        <v>240</v>
      </c>
      <c r="K674" t="s">
        <v>221</v>
      </c>
      <c r="L674">
        <v>500</v>
      </c>
      <c r="M674" s="211">
        <v>44403</v>
      </c>
      <c r="N674" s="211">
        <v>44403</v>
      </c>
      <c r="O674" s="212" t="s">
        <v>60</v>
      </c>
      <c r="P674" t="s">
        <v>274</v>
      </c>
      <c r="S674">
        <v>0</v>
      </c>
      <c r="T674">
        <v>0</v>
      </c>
      <c r="U674">
        <v>0</v>
      </c>
      <c r="V674">
        <v>0</v>
      </c>
      <c r="W674">
        <v>0</v>
      </c>
      <c r="X674" s="140">
        <v>500</v>
      </c>
      <c r="Y674" s="209">
        <f t="shared" si="10"/>
        <v>500</v>
      </c>
      <c r="Z674">
        <v>0</v>
      </c>
      <c r="AA674">
        <v>51000121070558</v>
      </c>
      <c r="AB674" t="s">
        <v>275</v>
      </c>
      <c r="AE674"/>
      <c r="AF674"/>
      <c r="AG674" t="s">
        <v>223</v>
      </c>
      <c r="AN674" t="s">
        <v>218</v>
      </c>
      <c r="AO674" t="s">
        <v>276</v>
      </c>
      <c r="AP674" t="s">
        <v>225</v>
      </c>
      <c r="AQ674">
        <v>0.13</v>
      </c>
      <c r="AR674" t="s">
        <v>277</v>
      </c>
    </row>
    <row r="675" hidden="1" spans="1:44">
      <c r="A675" t="s">
        <v>58</v>
      </c>
      <c r="B675" t="s">
        <v>25</v>
      </c>
      <c r="C675" s="209" t="s">
        <v>26</v>
      </c>
      <c r="D675" s="210">
        <v>71000121070080</v>
      </c>
      <c r="E675" s="211">
        <v>44378</v>
      </c>
      <c r="F675" t="s">
        <v>218</v>
      </c>
      <c r="G675" t="s">
        <v>272</v>
      </c>
      <c r="H675">
        <v>3</v>
      </c>
      <c r="I675" t="s">
        <v>282</v>
      </c>
      <c r="J675" t="s">
        <v>283</v>
      </c>
      <c r="K675" t="s">
        <v>221</v>
      </c>
      <c r="L675">
        <v>518</v>
      </c>
      <c r="M675" s="211">
        <v>44459</v>
      </c>
      <c r="N675" s="211">
        <v>44459</v>
      </c>
      <c r="O675" s="212" t="s">
        <v>241</v>
      </c>
      <c r="P675" t="s">
        <v>274</v>
      </c>
      <c r="S675">
        <v>0</v>
      </c>
      <c r="T675">
        <v>0</v>
      </c>
      <c r="U675">
        <v>0</v>
      </c>
      <c r="V675">
        <v>0</v>
      </c>
      <c r="W675">
        <v>0</v>
      </c>
      <c r="X675" s="140">
        <v>518</v>
      </c>
      <c r="Y675" s="209">
        <f t="shared" si="10"/>
        <v>518</v>
      </c>
      <c r="Z675">
        <v>0</v>
      </c>
      <c r="AA675">
        <v>51000121070558</v>
      </c>
      <c r="AB675" t="s">
        <v>275</v>
      </c>
      <c r="AE675"/>
      <c r="AF675"/>
      <c r="AG675" t="s">
        <v>223</v>
      </c>
      <c r="AN675" t="s">
        <v>218</v>
      </c>
      <c r="AO675" t="s">
        <v>276</v>
      </c>
      <c r="AP675" t="s">
        <v>225</v>
      </c>
      <c r="AQ675">
        <v>0.13</v>
      </c>
      <c r="AR675" t="s">
        <v>277</v>
      </c>
    </row>
    <row r="676" hidden="1" spans="1:44">
      <c r="A676" t="s">
        <v>58</v>
      </c>
      <c r="B676" t="s">
        <v>25</v>
      </c>
      <c r="C676" s="209" t="s">
        <v>26</v>
      </c>
      <c r="D676" s="210">
        <v>71000121070080</v>
      </c>
      <c r="E676" s="211">
        <v>44378</v>
      </c>
      <c r="F676" t="s">
        <v>218</v>
      </c>
      <c r="G676" t="s">
        <v>272</v>
      </c>
      <c r="H676">
        <v>4</v>
      </c>
      <c r="I676" t="s">
        <v>282</v>
      </c>
      <c r="J676" t="s">
        <v>283</v>
      </c>
      <c r="K676" t="s">
        <v>221</v>
      </c>
      <c r="L676">
        <v>1036</v>
      </c>
      <c r="M676" s="211">
        <v>44466</v>
      </c>
      <c r="N676" s="211">
        <v>44466</v>
      </c>
      <c r="O676" s="212" t="s">
        <v>241</v>
      </c>
      <c r="P676" t="s">
        <v>274</v>
      </c>
      <c r="S676">
        <v>0</v>
      </c>
      <c r="T676">
        <v>0</v>
      </c>
      <c r="U676">
        <v>0</v>
      </c>
      <c r="V676">
        <v>0</v>
      </c>
      <c r="W676">
        <v>0</v>
      </c>
      <c r="X676" s="140">
        <v>1036</v>
      </c>
      <c r="Y676" s="209">
        <f t="shared" si="10"/>
        <v>1036</v>
      </c>
      <c r="Z676">
        <v>0</v>
      </c>
      <c r="AA676">
        <v>51000121070558</v>
      </c>
      <c r="AB676" t="s">
        <v>275</v>
      </c>
      <c r="AE676"/>
      <c r="AF676"/>
      <c r="AG676" t="s">
        <v>223</v>
      </c>
      <c r="AN676" t="s">
        <v>218</v>
      </c>
      <c r="AO676" t="s">
        <v>276</v>
      </c>
      <c r="AP676" t="s">
        <v>225</v>
      </c>
      <c r="AQ676">
        <v>0.13</v>
      </c>
      <c r="AR676" t="s">
        <v>277</v>
      </c>
    </row>
    <row r="677" hidden="1" spans="1:44">
      <c r="A677" t="s">
        <v>58</v>
      </c>
      <c r="B677" t="s">
        <v>25</v>
      </c>
      <c r="C677" s="209" t="s">
        <v>26</v>
      </c>
      <c r="D677" s="210">
        <v>71000121070080</v>
      </c>
      <c r="E677" s="211">
        <v>44378</v>
      </c>
      <c r="F677" t="s">
        <v>218</v>
      </c>
      <c r="G677" t="s">
        <v>272</v>
      </c>
      <c r="H677">
        <v>5</v>
      </c>
      <c r="I677" t="s">
        <v>282</v>
      </c>
      <c r="J677" t="s">
        <v>283</v>
      </c>
      <c r="K677" t="s">
        <v>221</v>
      </c>
      <c r="L677">
        <v>1036</v>
      </c>
      <c r="M677" s="211">
        <v>44473</v>
      </c>
      <c r="N677" s="211">
        <v>44473</v>
      </c>
      <c r="O677" s="212" t="s">
        <v>252</v>
      </c>
      <c r="P677" t="s">
        <v>274</v>
      </c>
      <c r="S677">
        <v>0</v>
      </c>
      <c r="T677">
        <v>0</v>
      </c>
      <c r="U677">
        <v>0</v>
      </c>
      <c r="V677">
        <v>0</v>
      </c>
      <c r="W677">
        <v>0</v>
      </c>
      <c r="X677" s="140">
        <v>1036</v>
      </c>
      <c r="Y677" s="209">
        <f t="shared" si="10"/>
        <v>1036</v>
      </c>
      <c r="Z677">
        <v>0</v>
      </c>
      <c r="AA677">
        <v>51000121070558</v>
      </c>
      <c r="AB677" t="s">
        <v>275</v>
      </c>
      <c r="AE677"/>
      <c r="AF677"/>
      <c r="AG677" t="s">
        <v>223</v>
      </c>
      <c r="AN677" t="s">
        <v>218</v>
      </c>
      <c r="AO677" t="s">
        <v>276</v>
      </c>
      <c r="AP677" t="s">
        <v>225</v>
      </c>
      <c r="AQ677">
        <v>0.13</v>
      </c>
      <c r="AR677" t="s">
        <v>277</v>
      </c>
    </row>
    <row r="678" hidden="1" spans="1:44">
      <c r="A678" t="s">
        <v>58</v>
      </c>
      <c r="B678" t="s">
        <v>25</v>
      </c>
      <c r="C678" s="209" t="s">
        <v>26</v>
      </c>
      <c r="D678" s="210">
        <v>71000121070080</v>
      </c>
      <c r="E678" s="211">
        <v>44378</v>
      </c>
      <c r="F678" t="s">
        <v>218</v>
      </c>
      <c r="G678" t="s">
        <v>272</v>
      </c>
      <c r="H678">
        <v>6</v>
      </c>
      <c r="I678" t="s">
        <v>87</v>
      </c>
      <c r="J678" t="s">
        <v>279</v>
      </c>
      <c r="K678" t="s">
        <v>221</v>
      </c>
      <c r="L678">
        <v>626</v>
      </c>
      <c r="M678" s="211">
        <v>44403</v>
      </c>
      <c r="N678" s="211">
        <v>44403</v>
      </c>
      <c r="O678" s="212" t="s">
        <v>60</v>
      </c>
      <c r="P678" t="s">
        <v>274</v>
      </c>
      <c r="S678">
        <v>0</v>
      </c>
      <c r="T678">
        <v>0</v>
      </c>
      <c r="U678">
        <v>0</v>
      </c>
      <c r="V678">
        <v>0</v>
      </c>
      <c r="W678">
        <v>0</v>
      </c>
      <c r="X678" s="140">
        <v>626</v>
      </c>
      <c r="Y678" s="209">
        <f t="shared" si="10"/>
        <v>626</v>
      </c>
      <c r="Z678">
        <v>0</v>
      </c>
      <c r="AA678">
        <v>51000121070558</v>
      </c>
      <c r="AB678" t="s">
        <v>275</v>
      </c>
      <c r="AE678"/>
      <c r="AF678"/>
      <c r="AG678" t="s">
        <v>223</v>
      </c>
      <c r="AN678" t="s">
        <v>218</v>
      </c>
      <c r="AO678" t="s">
        <v>276</v>
      </c>
      <c r="AP678" t="s">
        <v>225</v>
      </c>
      <c r="AQ678">
        <v>0.13</v>
      </c>
      <c r="AR678" t="s">
        <v>277</v>
      </c>
    </row>
    <row r="679" hidden="1" spans="1:44">
      <c r="A679" t="s">
        <v>58</v>
      </c>
      <c r="B679" t="s">
        <v>25</v>
      </c>
      <c r="C679" s="209" t="s">
        <v>26</v>
      </c>
      <c r="D679" s="210">
        <v>71000121070080</v>
      </c>
      <c r="E679" s="211">
        <v>44378</v>
      </c>
      <c r="F679" t="s">
        <v>218</v>
      </c>
      <c r="G679" t="s">
        <v>272</v>
      </c>
      <c r="H679">
        <v>7</v>
      </c>
      <c r="I679" t="s">
        <v>88</v>
      </c>
      <c r="J679" t="s">
        <v>229</v>
      </c>
      <c r="K679" t="s">
        <v>221</v>
      </c>
      <c r="L679">
        <v>1497</v>
      </c>
      <c r="M679" s="211">
        <v>44396</v>
      </c>
      <c r="N679" s="211">
        <v>44396</v>
      </c>
      <c r="O679" s="212" t="s">
        <v>60</v>
      </c>
      <c r="P679" t="s">
        <v>274</v>
      </c>
      <c r="S679">
        <v>0</v>
      </c>
      <c r="T679">
        <v>0</v>
      </c>
      <c r="U679">
        <v>0</v>
      </c>
      <c r="V679">
        <v>0</v>
      </c>
      <c r="W679">
        <v>0</v>
      </c>
      <c r="X679" s="140">
        <v>1497</v>
      </c>
      <c r="Y679" s="209">
        <f t="shared" si="10"/>
        <v>1497</v>
      </c>
      <c r="Z679">
        <v>0</v>
      </c>
      <c r="AA679">
        <v>51000121070558</v>
      </c>
      <c r="AB679" t="s">
        <v>275</v>
      </c>
      <c r="AE679"/>
      <c r="AF679"/>
      <c r="AG679" t="s">
        <v>223</v>
      </c>
      <c r="AN679" t="s">
        <v>218</v>
      </c>
      <c r="AO679" t="s">
        <v>276</v>
      </c>
      <c r="AP679" t="s">
        <v>225</v>
      </c>
      <c r="AQ679">
        <v>0.13</v>
      </c>
      <c r="AR679" t="s">
        <v>277</v>
      </c>
    </row>
    <row r="680" hidden="1" spans="1:44">
      <c r="A680" t="s">
        <v>58</v>
      </c>
      <c r="B680" t="s">
        <v>25</v>
      </c>
      <c r="C680" s="209" t="s">
        <v>26</v>
      </c>
      <c r="D680" s="210">
        <v>71000121070080</v>
      </c>
      <c r="E680" s="211">
        <v>44378</v>
      </c>
      <c r="F680" t="s">
        <v>218</v>
      </c>
      <c r="G680" t="s">
        <v>272</v>
      </c>
      <c r="H680">
        <v>8</v>
      </c>
      <c r="I680" t="s">
        <v>88</v>
      </c>
      <c r="J680" t="s">
        <v>229</v>
      </c>
      <c r="K680" t="s">
        <v>221</v>
      </c>
      <c r="L680">
        <v>42</v>
      </c>
      <c r="M680" s="211">
        <v>44403</v>
      </c>
      <c r="N680" s="211">
        <v>44403</v>
      </c>
      <c r="O680" s="212" t="s">
        <v>60</v>
      </c>
      <c r="P680" t="s">
        <v>274</v>
      </c>
      <c r="S680">
        <v>0</v>
      </c>
      <c r="T680">
        <v>0</v>
      </c>
      <c r="U680">
        <v>0</v>
      </c>
      <c r="V680">
        <v>0</v>
      </c>
      <c r="W680">
        <v>0</v>
      </c>
      <c r="X680" s="140">
        <v>42</v>
      </c>
      <c r="Y680" s="209">
        <f t="shared" si="10"/>
        <v>42</v>
      </c>
      <c r="Z680">
        <v>0</v>
      </c>
      <c r="AA680">
        <v>51000121070558</v>
      </c>
      <c r="AB680" t="s">
        <v>275</v>
      </c>
      <c r="AE680"/>
      <c r="AF680"/>
      <c r="AG680" t="s">
        <v>223</v>
      </c>
      <c r="AN680" t="s">
        <v>218</v>
      </c>
      <c r="AO680" t="s">
        <v>276</v>
      </c>
      <c r="AP680" t="s">
        <v>225</v>
      </c>
      <c r="AQ680">
        <v>0.13</v>
      </c>
      <c r="AR680" t="s">
        <v>277</v>
      </c>
    </row>
    <row r="681" hidden="1" spans="1:44">
      <c r="A681" t="s">
        <v>58</v>
      </c>
      <c r="B681" t="s">
        <v>25</v>
      </c>
      <c r="C681" s="209" t="s">
        <v>26</v>
      </c>
      <c r="D681" s="210">
        <v>71000121070080</v>
      </c>
      <c r="E681" s="211">
        <v>44378</v>
      </c>
      <c r="F681" t="s">
        <v>218</v>
      </c>
      <c r="G681" t="s">
        <v>272</v>
      </c>
      <c r="H681">
        <v>9</v>
      </c>
      <c r="I681" t="s">
        <v>88</v>
      </c>
      <c r="J681" t="s">
        <v>229</v>
      </c>
      <c r="K681" t="s">
        <v>221</v>
      </c>
      <c r="L681">
        <v>102</v>
      </c>
      <c r="M681" s="211">
        <v>44410</v>
      </c>
      <c r="N681" s="211">
        <v>44410</v>
      </c>
      <c r="O681" s="212" t="s">
        <v>227</v>
      </c>
      <c r="P681" t="s">
        <v>274</v>
      </c>
      <c r="S681">
        <v>0</v>
      </c>
      <c r="T681">
        <v>0</v>
      </c>
      <c r="U681">
        <v>0</v>
      </c>
      <c r="V681">
        <v>0</v>
      </c>
      <c r="W681">
        <v>0</v>
      </c>
      <c r="X681" s="140">
        <v>102</v>
      </c>
      <c r="Y681" s="209">
        <f t="shared" si="10"/>
        <v>102</v>
      </c>
      <c r="Z681">
        <v>0</v>
      </c>
      <c r="AA681">
        <v>51000121070558</v>
      </c>
      <c r="AB681" t="s">
        <v>275</v>
      </c>
      <c r="AE681"/>
      <c r="AF681"/>
      <c r="AG681" t="s">
        <v>223</v>
      </c>
      <c r="AN681" t="s">
        <v>218</v>
      </c>
      <c r="AO681" t="s">
        <v>276</v>
      </c>
      <c r="AP681" t="s">
        <v>225</v>
      </c>
      <c r="AQ681">
        <v>0.13</v>
      </c>
      <c r="AR681" t="s">
        <v>277</v>
      </c>
    </row>
    <row r="682" hidden="1" spans="1:44">
      <c r="A682" t="s">
        <v>58</v>
      </c>
      <c r="B682" t="s">
        <v>25</v>
      </c>
      <c r="C682" s="209" t="s">
        <v>26</v>
      </c>
      <c r="D682" s="210">
        <v>71000121070080</v>
      </c>
      <c r="E682" s="211">
        <v>44378</v>
      </c>
      <c r="F682" t="s">
        <v>218</v>
      </c>
      <c r="G682" t="s">
        <v>272</v>
      </c>
      <c r="H682">
        <v>10</v>
      </c>
      <c r="I682" t="s">
        <v>88</v>
      </c>
      <c r="J682" t="s">
        <v>229</v>
      </c>
      <c r="K682" t="s">
        <v>221</v>
      </c>
      <c r="L682">
        <v>102</v>
      </c>
      <c r="M682" s="211">
        <v>44417</v>
      </c>
      <c r="N682" s="211">
        <v>44417</v>
      </c>
      <c r="O682" s="212" t="s">
        <v>227</v>
      </c>
      <c r="P682" t="s">
        <v>274</v>
      </c>
      <c r="S682">
        <v>0</v>
      </c>
      <c r="T682">
        <v>0</v>
      </c>
      <c r="U682">
        <v>0</v>
      </c>
      <c r="V682">
        <v>0</v>
      </c>
      <c r="W682">
        <v>0</v>
      </c>
      <c r="X682" s="140">
        <v>102</v>
      </c>
      <c r="Y682" s="209">
        <f t="shared" si="10"/>
        <v>102</v>
      </c>
      <c r="Z682">
        <v>0</v>
      </c>
      <c r="AA682">
        <v>51000121070558</v>
      </c>
      <c r="AB682" t="s">
        <v>275</v>
      </c>
      <c r="AE682"/>
      <c r="AF682"/>
      <c r="AG682" t="s">
        <v>223</v>
      </c>
      <c r="AN682" t="s">
        <v>218</v>
      </c>
      <c r="AO682" t="s">
        <v>276</v>
      </c>
      <c r="AP682" t="s">
        <v>225</v>
      </c>
      <c r="AQ682">
        <v>0.13</v>
      </c>
      <c r="AR682" t="s">
        <v>277</v>
      </c>
    </row>
    <row r="683" hidden="1" spans="1:44">
      <c r="A683" t="s">
        <v>58</v>
      </c>
      <c r="B683" t="s">
        <v>25</v>
      </c>
      <c r="C683" s="209" t="s">
        <v>26</v>
      </c>
      <c r="D683" s="210">
        <v>71000121070080</v>
      </c>
      <c r="E683" s="211">
        <v>44378</v>
      </c>
      <c r="F683" t="s">
        <v>218</v>
      </c>
      <c r="G683" t="s">
        <v>272</v>
      </c>
      <c r="H683">
        <v>11</v>
      </c>
      <c r="I683" t="s">
        <v>284</v>
      </c>
      <c r="J683" t="s">
        <v>229</v>
      </c>
      <c r="K683" t="s">
        <v>221</v>
      </c>
      <c r="L683">
        <v>2072</v>
      </c>
      <c r="M683" s="211">
        <v>44459</v>
      </c>
      <c r="N683" s="211">
        <v>44459</v>
      </c>
      <c r="O683" s="212" t="s">
        <v>241</v>
      </c>
      <c r="P683" t="s">
        <v>274</v>
      </c>
      <c r="S683">
        <v>0</v>
      </c>
      <c r="T683">
        <v>0</v>
      </c>
      <c r="U683">
        <v>0</v>
      </c>
      <c r="V683">
        <v>0</v>
      </c>
      <c r="W683">
        <v>0</v>
      </c>
      <c r="X683" s="140">
        <v>2072</v>
      </c>
      <c r="Y683" s="209">
        <f t="shared" si="10"/>
        <v>2072</v>
      </c>
      <c r="Z683">
        <v>0</v>
      </c>
      <c r="AA683">
        <v>51000121070558</v>
      </c>
      <c r="AB683" t="s">
        <v>275</v>
      </c>
      <c r="AE683"/>
      <c r="AF683"/>
      <c r="AG683" t="s">
        <v>223</v>
      </c>
      <c r="AN683" t="s">
        <v>218</v>
      </c>
      <c r="AO683" t="s">
        <v>276</v>
      </c>
      <c r="AP683" t="s">
        <v>225</v>
      </c>
      <c r="AQ683">
        <v>0.13</v>
      </c>
      <c r="AR683" t="s">
        <v>277</v>
      </c>
    </row>
    <row r="684" hidden="1" spans="1:44">
      <c r="A684" t="s">
        <v>58</v>
      </c>
      <c r="B684" t="s">
        <v>25</v>
      </c>
      <c r="C684" s="209" t="s">
        <v>26</v>
      </c>
      <c r="D684" s="210">
        <v>71000121070080</v>
      </c>
      <c r="E684" s="211">
        <v>44378</v>
      </c>
      <c r="F684" t="s">
        <v>218</v>
      </c>
      <c r="G684" t="s">
        <v>272</v>
      </c>
      <c r="H684">
        <v>12</v>
      </c>
      <c r="I684" t="s">
        <v>284</v>
      </c>
      <c r="J684" t="s">
        <v>229</v>
      </c>
      <c r="K684" t="s">
        <v>221</v>
      </c>
      <c r="L684">
        <v>1036</v>
      </c>
      <c r="M684" s="211">
        <v>44466</v>
      </c>
      <c r="N684" s="211">
        <v>44466</v>
      </c>
      <c r="O684" s="212" t="s">
        <v>241</v>
      </c>
      <c r="P684" t="s">
        <v>274</v>
      </c>
      <c r="S684">
        <v>0</v>
      </c>
      <c r="T684">
        <v>0</v>
      </c>
      <c r="U684">
        <v>0</v>
      </c>
      <c r="V684">
        <v>0</v>
      </c>
      <c r="W684">
        <v>0</v>
      </c>
      <c r="X684" s="140">
        <v>1036</v>
      </c>
      <c r="Y684" s="209">
        <f t="shared" si="10"/>
        <v>1036</v>
      </c>
      <c r="Z684">
        <v>0</v>
      </c>
      <c r="AA684">
        <v>51000121070558</v>
      </c>
      <c r="AB684" t="s">
        <v>275</v>
      </c>
      <c r="AE684"/>
      <c r="AF684"/>
      <c r="AG684" t="s">
        <v>223</v>
      </c>
      <c r="AN684" t="s">
        <v>218</v>
      </c>
      <c r="AO684" t="s">
        <v>276</v>
      </c>
      <c r="AP684" t="s">
        <v>225</v>
      </c>
      <c r="AQ684">
        <v>0.13</v>
      </c>
      <c r="AR684" t="s">
        <v>277</v>
      </c>
    </row>
    <row r="685" hidden="1" spans="1:44">
      <c r="A685" t="s">
        <v>58</v>
      </c>
      <c r="B685" t="s">
        <v>25</v>
      </c>
      <c r="C685" s="209" t="s">
        <v>26</v>
      </c>
      <c r="D685" s="210">
        <v>71000121070080</v>
      </c>
      <c r="E685" s="211">
        <v>44378</v>
      </c>
      <c r="F685" t="s">
        <v>218</v>
      </c>
      <c r="G685" t="s">
        <v>272</v>
      </c>
      <c r="H685">
        <v>13</v>
      </c>
      <c r="I685" t="s">
        <v>284</v>
      </c>
      <c r="J685" t="s">
        <v>229</v>
      </c>
      <c r="K685" t="s">
        <v>221</v>
      </c>
      <c r="L685">
        <v>1036</v>
      </c>
      <c r="M685" s="211">
        <v>44473</v>
      </c>
      <c r="N685" s="211">
        <v>44473</v>
      </c>
      <c r="O685" s="212" t="s">
        <v>252</v>
      </c>
      <c r="P685" t="s">
        <v>274</v>
      </c>
      <c r="S685">
        <v>0</v>
      </c>
      <c r="T685">
        <v>0</v>
      </c>
      <c r="U685">
        <v>0</v>
      </c>
      <c r="V685">
        <v>0</v>
      </c>
      <c r="W685">
        <v>0</v>
      </c>
      <c r="X685" s="140">
        <v>1036</v>
      </c>
      <c r="Y685" s="209">
        <f t="shared" si="10"/>
        <v>1036</v>
      </c>
      <c r="Z685">
        <v>0</v>
      </c>
      <c r="AA685">
        <v>51000121070558</v>
      </c>
      <c r="AB685" t="s">
        <v>275</v>
      </c>
      <c r="AE685"/>
      <c r="AF685"/>
      <c r="AG685" t="s">
        <v>223</v>
      </c>
      <c r="AN685" t="s">
        <v>218</v>
      </c>
      <c r="AO685" t="s">
        <v>276</v>
      </c>
      <c r="AP685" t="s">
        <v>225</v>
      </c>
      <c r="AQ685">
        <v>0.13</v>
      </c>
      <c r="AR685" t="s">
        <v>277</v>
      </c>
    </row>
    <row r="686" hidden="1" spans="1:44">
      <c r="A686" t="s">
        <v>58</v>
      </c>
      <c r="B686" t="s">
        <v>25</v>
      </c>
      <c r="C686" s="209" t="s">
        <v>26</v>
      </c>
      <c r="D686" s="210">
        <v>71000121070080</v>
      </c>
      <c r="E686" s="211">
        <v>44378</v>
      </c>
      <c r="F686" t="s">
        <v>218</v>
      </c>
      <c r="G686" t="s">
        <v>272</v>
      </c>
      <c r="H686">
        <v>14</v>
      </c>
      <c r="I686" t="s">
        <v>85</v>
      </c>
      <c r="J686" t="s">
        <v>278</v>
      </c>
      <c r="K686" t="s">
        <v>221</v>
      </c>
      <c r="L686">
        <v>194</v>
      </c>
      <c r="M686" s="211">
        <v>44473</v>
      </c>
      <c r="N686" s="211">
        <v>44473</v>
      </c>
      <c r="O686" s="212" t="s">
        <v>252</v>
      </c>
      <c r="P686" t="s">
        <v>274</v>
      </c>
      <c r="S686">
        <v>0</v>
      </c>
      <c r="T686">
        <v>0</v>
      </c>
      <c r="U686">
        <v>0</v>
      </c>
      <c r="V686">
        <v>0</v>
      </c>
      <c r="W686">
        <v>0</v>
      </c>
      <c r="X686" s="140">
        <v>194</v>
      </c>
      <c r="Y686" s="209">
        <f t="shared" si="10"/>
        <v>194</v>
      </c>
      <c r="Z686">
        <v>0</v>
      </c>
      <c r="AA686">
        <v>51000121070558</v>
      </c>
      <c r="AB686" t="s">
        <v>275</v>
      </c>
      <c r="AE686"/>
      <c r="AF686"/>
      <c r="AG686" t="s">
        <v>223</v>
      </c>
      <c r="AN686" t="s">
        <v>218</v>
      </c>
      <c r="AO686" t="s">
        <v>276</v>
      </c>
      <c r="AP686" t="s">
        <v>225</v>
      </c>
      <c r="AQ686">
        <v>0.13</v>
      </c>
      <c r="AR686" t="s">
        <v>277</v>
      </c>
    </row>
    <row r="687" hidden="1" spans="1:44">
      <c r="A687" t="s">
        <v>58</v>
      </c>
      <c r="B687" t="s">
        <v>25</v>
      </c>
      <c r="C687" s="209" t="s">
        <v>26</v>
      </c>
      <c r="D687" s="210">
        <v>71000121070432</v>
      </c>
      <c r="E687" s="211">
        <v>44382</v>
      </c>
      <c r="F687" t="s">
        <v>218</v>
      </c>
      <c r="G687" t="s">
        <v>272</v>
      </c>
      <c r="H687">
        <v>1</v>
      </c>
      <c r="I687" t="s">
        <v>78</v>
      </c>
      <c r="J687" t="s">
        <v>240</v>
      </c>
      <c r="K687" t="s">
        <v>221</v>
      </c>
      <c r="L687">
        <v>783</v>
      </c>
      <c r="M687" s="211">
        <v>44466</v>
      </c>
      <c r="O687" s="212" t="s">
        <v>241</v>
      </c>
      <c r="P687" t="s">
        <v>274</v>
      </c>
      <c r="S687">
        <v>0</v>
      </c>
      <c r="T687">
        <v>0</v>
      </c>
      <c r="U687">
        <v>0</v>
      </c>
      <c r="V687">
        <v>0</v>
      </c>
      <c r="W687">
        <v>0</v>
      </c>
      <c r="X687" s="140">
        <v>783</v>
      </c>
      <c r="Y687" s="209">
        <f t="shared" si="10"/>
        <v>783</v>
      </c>
      <c r="Z687">
        <v>0</v>
      </c>
      <c r="AA687">
        <v>51000121070845</v>
      </c>
      <c r="AB687" t="s">
        <v>275</v>
      </c>
      <c r="AE687"/>
      <c r="AF687"/>
      <c r="AG687" t="s">
        <v>223</v>
      </c>
      <c r="AN687" t="s">
        <v>218</v>
      </c>
      <c r="AO687" t="s">
        <v>276</v>
      </c>
      <c r="AP687" t="s">
        <v>225</v>
      </c>
      <c r="AQ687">
        <v>0.13</v>
      </c>
      <c r="AR687" t="s">
        <v>277</v>
      </c>
    </row>
    <row r="688" hidden="1" spans="1:44">
      <c r="A688" t="s">
        <v>58</v>
      </c>
      <c r="B688" t="s">
        <v>25</v>
      </c>
      <c r="C688" s="209" t="s">
        <v>26</v>
      </c>
      <c r="D688" s="210">
        <v>71000121070432</v>
      </c>
      <c r="E688" s="211">
        <v>44382</v>
      </c>
      <c r="F688" t="s">
        <v>218</v>
      </c>
      <c r="G688" t="s">
        <v>272</v>
      </c>
      <c r="H688">
        <v>2</v>
      </c>
      <c r="I688" t="s">
        <v>77</v>
      </c>
      <c r="J688" t="s">
        <v>240</v>
      </c>
      <c r="K688" t="s">
        <v>221</v>
      </c>
      <c r="L688">
        <v>12</v>
      </c>
      <c r="M688" s="211">
        <v>44403</v>
      </c>
      <c r="O688" s="212" t="s">
        <v>60</v>
      </c>
      <c r="P688" t="s">
        <v>274</v>
      </c>
      <c r="S688">
        <v>0</v>
      </c>
      <c r="T688">
        <v>0</v>
      </c>
      <c r="U688">
        <v>0</v>
      </c>
      <c r="V688">
        <v>0</v>
      </c>
      <c r="W688">
        <v>0</v>
      </c>
      <c r="X688" s="140">
        <v>12</v>
      </c>
      <c r="Y688" s="209">
        <f t="shared" si="10"/>
        <v>12</v>
      </c>
      <c r="Z688">
        <v>0</v>
      </c>
      <c r="AA688">
        <v>51000121070845</v>
      </c>
      <c r="AB688" t="s">
        <v>275</v>
      </c>
      <c r="AE688"/>
      <c r="AF688"/>
      <c r="AG688" t="s">
        <v>223</v>
      </c>
      <c r="AN688" t="s">
        <v>218</v>
      </c>
      <c r="AO688" t="s">
        <v>276</v>
      </c>
      <c r="AP688" t="s">
        <v>225</v>
      </c>
      <c r="AQ688">
        <v>0.13</v>
      </c>
      <c r="AR688" t="s">
        <v>277</v>
      </c>
    </row>
    <row r="689" hidden="1" spans="1:44">
      <c r="A689" t="s">
        <v>58</v>
      </c>
      <c r="B689" t="s">
        <v>25</v>
      </c>
      <c r="C689" s="209" t="s">
        <v>26</v>
      </c>
      <c r="D689" s="210">
        <v>71000121070432</v>
      </c>
      <c r="E689" s="211">
        <v>44382</v>
      </c>
      <c r="F689" t="s">
        <v>218</v>
      </c>
      <c r="G689" t="s">
        <v>272</v>
      </c>
      <c r="H689">
        <v>3</v>
      </c>
      <c r="I689" t="s">
        <v>87</v>
      </c>
      <c r="J689" t="s">
        <v>279</v>
      </c>
      <c r="K689" t="s">
        <v>221</v>
      </c>
      <c r="L689">
        <v>281</v>
      </c>
      <c r="M689" s="211">
        <v>44396</v>
      </c>
      <c r="O689" s="212" t="s">
        <v>60</v>
      </c>
      <c r="P689" t="s">
        <v>274</v>
      </c>
      <c r="S689">
        <v>0</v>
      </c>
      <c r="T689">
        <v>0</v>
      </c>
      <c r="U689">
        <v>0</v>
      </c>
      <c r="V689">
        <v>0</v>
      </c>
      <c r="W689">
        <v>0</v>
      </c>
      <c r="X689" s="140">
        <v>281</v>
      </c>
      <c r="Y689" s="209">
        <f t="shared" si="10"/>
        <v>281</v>
      </c>
      <c r="Z689">
        <v>0</v>
      </c>
      <c r="AA689">
        <v>51000121070845</v>
      </c>
      <c r="AB689" t="s">
        <v>275</v>
      </c>
      <c r="AE689"/>
      <c r="AF689"/>
      <c r="AG689" t="s">
        <v>223</v>
      </c>
      <c r="AN689" t="s">
        <v>218</v>
      </c>
      <c r="AO689" t="s">
        <v>276</v>
      </c>
      <c r="AP689" t="s">
        <v>225</v>
      </c>
      <c r="AQ689">
        <v>0.13</v>
      </c>
      <c r="AR689" t="s">
        <v>277</v>
      </c>
    </row>
    <row r="690" hidden="1" spans="1:44">
      <c r="A690" t="s">
        <v>58</v>
      </c>
      <c r="B690" t="s">
        <v>25</v>
      </c>
      <c r="C690" s="209" t="s">
        <v>26</v>
      </c>
      <c r="D690" s="210">
        <v>71000121070432</v>
      </c>
      <c r="E690" s="211">
        <v>44382</v>
      </c>
      <c r="F690" t="s">
        <v>218</v>
      </c>
      <c r="G690" t="s">
        <v>272</v>
      </c>
      <c r="H690">
        <v>4</v>
      </c>
      <c r="I690" t="s">
        <v>87</v>
      </c>
      <c r="J690" t="s">
        <v>279</v>
      </c>
      <c r="K690" t="s">
        <v>221</v>
      </c>
      <c r="L690">
        <v>740</v>
      </c>
      <c r="M690" s="211">
        <v>44403</v>
      </c>
      <c r="O690" s="212" t="s">
        <v>60</v>
      </c>
      <c r="P690" t="s">
        <v>274</v>
      </c>
      <c r="S690">
        <v>0</v>
      </c>
      <c r="T690">
        <v>0</v>
      </c>
      <c r="U690">
        <v>0</v>
      </c>
      <c r="V690">
        <v>0</v>
      </c>
      <c r="W690">
        <v>0</v>
      </c>
      <c r="X690" s="140">
        <v>740</v>
      </c>
      <c r="Y690" s="209">
        <f t="shared" si="10"/>
        <v>740</v>
      </c>
      <c r="Z690">
        <v>0</v>
      </c>
      <c r="AA690">
        <v>51000121070845</v>
      </c>
      <c r="AB690" t="s">
        <v>275</v>
      </c>
      <c r="AE690"/>
      <c r="AF690"/>
      <c r="AG690" t="s">
        <v>223</v>
      </c>
      <c r="AN690" t="s">
        <v>218</v>
      </c>
      <c r="AO690" t="s">
        <v>276</v>
      </c>
      <c r="AP690" t="s">
        <v>225</v>
      </c>
      <c r="AQ690">
        <v>0.13</v>
      </c>
      <c r="AR690" t="s">
        <v>277</v>
      </c>
    </row>
    <row r="691" hidden="1" spans="1:44">
      <c r="A691" t="s">
        <v>58</v>
      </c>
      <c r="B691" t="s">
        <v>25</v>
      </c>
      <c r="C691" s="209" t="s">
        <v>26</v>
      </c>
      <c r="D691" s="210">
        <v>71000121070432</v>
      </c>
      <c r="E691" s="211">
        <v>44382</v>
      </c>
      <c r="F691" t="s">
        <v>218</v>
      </c>
      <c r="G691" t="s">
        <v>272</v>
      </c>
      <c r="H691">
        <v>5</v>
      </c>
      <c r="I691" t="s">
        <v>88</v>
      </c>
      <c r="J691" t="s">
        <v>229</v>
      </c>
      <c r="K691" t="s">
        <v>221</v>
      </c>
      <c r="L691">
        <v>552</v>
      </c>
      <c r="M691" s="211">
        <v>44403</v>
      </c>
      <c r="O691" s="212" t="s">
        <v>60</v>
      </c>
      <c r="P691" t="s">
        <v>274</v>
      </c>
      <c r="S691">
        <v>0</v>
      </c>
      <c r="T691">
        <v>0</v>
      </c>
      <c r="U691">
        <v>0</v>
      </c>
      <c r="V691">
        <v>0</v>
      </c>
      <c r="W691">
        <v>0</v>
      </c>
      <c r="X691" s="140">
        <v>552</v>
      </c>
      <c r="Y691" s="209">
        <f t="shared" si="10"/>
        <v>552</v>
      </c>
      <c r="Z691">
        <v>0</v>
      </c>
      <c r="AA691">
        <v>51000121070845</v>
      </c>
      <c r="AB691" t="s">
        <v>275</v>
      </c>
      <c r="AE691"/>
      <c r="AF691"/>
      <c r="AG691" t="s">
        <v>223</v>
      </c>
      <c r="AN691" t="s">
        <v>218</v>
      </c>
      <c r="AO691" t="s">
        <v>276</v>
      </c>
      <c r="AP691" t="s">
        <v>225</v>
      </c>
      <c r="AQ691">
        <v>0.13</v>
      </c>
      <c r="AR691" t="s">
        <v>277</v>
      </c>
    </row>
    <row r="692" hidden="1" spans="1:44">
      <c r="A692" t="s">
        <v>58</v>
      </c>
      <c r="B692" t="s">
        <v>25</v>
      </c>
      <c r="C692" s="209" t="s">
        <v>26</v>
      </c>
      <c r="D692" s="210">
        <v>71000121070432</v>
      </c>
      <c r="E692" s="211">
        <v>44382</v>
      </c>
      <c r="F692" t="s">
        <v>218</v>
      </c>
      <c r="G692" t="s">
        <v>272</v>
      </c>
      <c r="H692">
        <v>6</v>
      </c>
      <c r="I692" t="s">
        <v>88</v>
      </c>
      <c r="J692" t="s">
        <v>229</v>
      </c>
      <c r="K692" t="s">
        <v>221</v>
      </c>
      <c r="L692">
        <v>62</v>
      </c>
      <c r="M692" s="211">
        <v>44410</v>
      </c>
      <c r="O692" s="212" t="s">
        <v>227</v>
      </c>
      <c r="P692" t="s">
        <v>274</v>
      </c>
      <c r="S692">
        <v>0</v>
      </c>
      <c r="T692">
        <v>0</v>
      </c>
      <c r="U692">
        <v>0</v>
      </c>
      <c r="V692">
        <v>0</v>
      </c>
      <c r="W692">
        <v>0</v>
      </c>
      <c r="X692" s="140">
        <v>62</v>
      </c>
      <c r="Y692" s="209">
        <f t="shared" si="10"/>
        <v>62</v>
      </c>
      <c r="Z692">
        <v>0</v>
      </c>
      <c r="AA692">
        <v>51000121070845</v>
      </c>
      <c r="AB692" t="s">
        <v>275</v>
      </c>
      <c r="AE692"/>
      <c r="AF692"/>
      <c r="AG692" t="s">
        <v>223</v>
      </c>
      <c r="AN692" t="s">
        <v>218</v>
      </c>
      <c r="AO692" t="s">
        <v>276</v>
      </c>
      <c r="AP692" t="s">
        <v>225</v>
      </c>
      <c r="AQ692">
        <v>0.13</v>
      </c>
      <c r="AR692" t="s">
        <v>277</v>
      </c>
    </row>
    <row r="693" hidden="1" spans="1:44">
      <c r="A693" t="s">
        <v>58</v>
      </c>
      <c r="B693" t="s">
        <v>25</v>
      </c>
      <c r="C693" s="209" t="s">
        <v>26</v>
      </c>
      <c r="D693" s="210">
        <v>71000121070432</v>
      </c>
      <c r="E693" s="211">
        <v>44382</v>
      </c>
      <c r="F693" t="s">
        <v>218</v>
      </c>
      <c r="G693" t="s">
        <v>272</v>
      </c>
      <c r="H693">
        <v>7</v>
      </c>
      <c r="I693" t="s">
        <v>88</v>
      </c>
      <c r="J693" t="s">
        <v>229</v>
      </c>
      <c r="K693" t="s">
        <v>221</v>
      </c>
      <c r="L693">
        <v>102</v>
      </c>
      <c r="M693" s="211">
        <v>44417</v>
      </c>
      <c r="O693" s="212" t="s">
        <v>227</v>
      </c>
      <c r="P693" t="s">
        <v>274</v>
      </c>
      <c r="S693">
        <v>0</v>
      </c>
      <c r="T693">
        <v>0</v>
      </c>
      <c r="U693">
        <v>0</v>
      </c>
      <c r="V693">
        <v>0</v>
      </c>
      <c r="W693">
        <v>0</v>
      </c>
      <c r="X693" s="140">
        <v>102</v>
      </c>
      <c r="Y693" s="209">
        <f t="shared" si="10"/>
        <v>102</v>
      </c>
      <c r="Z693">
        <v>0</v>
      </c>
      <c r="AA693">
        <v>51000121070845</v>
      </c>
      <c r="AB693" t="s">
        <v>275</v>
      </c>
      <c r="AE693"/>
      <c r="AF693"/>
      <c r="AG693" t="s">
        <v>223</v>
      </c>
      <c r="AN693" t="s">
        <v>218</v>
      </c>
      <c r="AO693" t="s">
        <v>276</v>
      </c>
      <c r="AP693" t="s">
        <v>225</v>
      </c>
      <c r="AQ693">
        <v>0.13</v>
      </c>
      <c r="AR693" t="s">
        <v>277</v>
      </c>
    </row>
    <row r="694" hidden="1" spans="1:44">
      <c r="A694" t="s">
        <v>58</v>
      </c>
      <c r="B694" t="s">
        <v>25</v>
      </c>
      <c r="C694" s="209" t="s">
        <v>26</v>
      </c>
      <c r="D694" s="210">
        <v>71000121070432</v>
      </c>
      <c r="E694" s="211">
        <v>44382</v>
      </c>
      <c r="F694" t="s">
        <v>218</v>
      </c>
      <c r="G694" t="s">
        <v>272</v>
      </c>
      <c r="H694">
        <v>8</v>
      </c>
      <c r="I694" t="s">
        <v>83</v>
      </c>
      <c r="J694" t="s">
        <v>278</v>
      </c>
      <c r="K694" t="s">
        <v>221</v>
      </c>
      <c r="L694">
        <v>100</v>
      </c>
      <c r="M694" s="211">
        <v>44389</v>
      </c>
      <c r="N694" s="211">
        <v>44403</v>
      </c>
      <c r="O694" s="212" t="s">
        <v>60</v>
      </c>
      <c r="P694" t="s">
        <v>274</v>
      </c>
      <c r="S694">
        <v>0</v>
      </c>
      <c r="T694">
        <v>0</v>
      </c>
      <c r="U694">
        <v>0</v>
      </c>
      <c r="V694">
        <v>0</v>
      </c>
      <c r="W694">
        <v>0</v>
      </c>
      <c r="X694" s="140">
        <v>100</v>
      </c>
      <c r="Y694" s="209">
        <f t="shared" si="10"/>
        <v>100</v>
      </c>
      <c r="Z694">
        <v>0</v>
      </c>
      <c r="AA694">
        <v>51000121070845</v>
      </c>
      <c r="AB694" t="s">
        <v>275</v>
      </c>
      <c r="AE694"/>
      <c r="AF694"/>
      <c r="AG694" t="s">
        <v>223</v>
      </c>
      <c r="AN694" t="s">
        <v>218</v>
      </c>
      <c r="AO694" t="s">
        <v>276</v>
      </c>
      <c r="AP694" t="s">
        <v>225</v>
      </c>
      <c r="AQ694">
        <v>0.13</v>
      </c>
      <c r="AR694" t="s">
        <v>277</v>
      </c>
    </row>
    <row r="695" hidden="1" spans="1:44">
      <c r="A695" t="s">
        <v>58</v>
      </c>
      <c r="B695" t="s">
        <v>25</v>
      </c>
      <c r="C695" s="209" t="s">
        <v>26</v>
      </c>
      <c r="D695" s="210">
        <v>71000121070432</v>
      </c>
      <c r="E695" s="211">
        <v>44382</v>
      </c>
      <c r="F695" t="s">
        <v>218</v>
      </c>
      <c r="G695" t="s">
        <v>272</v>
      </c>
      <c r="H695">
        <v>9</v>
      </c>
      <c r="I695" t="s">
        <v>83</v>
      </c>
      <c r="J695" t="s">
        <v>278</v>
      </c>
      <c r="K695" t="s">
        <v>221</v>
      </c>
      <c r="L695">
        <v>116</v>
      </c>
      <c r="M695" s="211">
        <v>44396</v>
      </c>
      <c r="O695" s="212" t="s">
        <v>60</v>
      </c>
      <c r="P695" t="s">
        <v>274</v>
      </c>
      <c r="S695">
        <v>0</v>
      </c>
      <c r="T695">
        <v>0</v>
      </c>
      <c r="U695">
        <v>0</v>
      </c>
      <c r="V695">
        <v>0</v>
      </c>
      <c r="W695">
        <v>0</v>
      </c>
      <c r="X695" s="140">
        <v>116</v>
      </c>
      <c r="Y695" s="209">
        <f t="shared" si="10"/>
        <v>116</v>
      </c>
      <c r="Z695">
        <v>0</v>
      </c>
      <c r="AA695">
        <v>51000121070845</v>
      </c>
      <c r="AB695" t="s">
        <v>275</v>
      </c>
      <c r="AE695"/>
      <c r="AF695"/>
      <c r="AG695" t="s">
        <v>223</v>
      </c>
      <c r="AN695" t="s">
        <v>218</v>
      </c>
      <c r="AO695" t="s">
        <v>276</v>
      </c>
      <c r="AP695" t="s">
        <v>225</v>
      </c>
      <c r="AQ695">
        <v>0.13</v>
      </c>
      <c r="AR695" t="s">
        <v>277</v>
      </c>
    </row>
    <row r="696" hidden="1" spans="1:44">
      <c r="A696" t="s">
        <v>58</v>
      </c>
      <c r="B696" t="s">
        <v>25</v>
      </c>
      <c r="C696" s="209" t="s">
        <v>26</v>
      </c>
      <c r="D696" s="210">
        <v>71000121070876</v>
      </c>
      <c r="E696" s="211">
        <v>44386</v>
      </c>
      <c r="F696" t="s">
        <v>218</v>
      </c>
      <c r="G696" t="s">
        <v>272</v>
      </c>
      <c r="H696">
        <v>1</v>
      </c>
      <c r="I696" t="s">
        <v>78</v>
      </c>
      <c r="J696" t="s">
        <v>240</v>
      </c>
      <c r="K696" t="s">
        <v>221</v>
      </c>
      <c r="L696">
        <v>204</v>
      </c>
      <c r="M696" s="211">
        <v>44452</v>
      </c>
      <c r="O696" s="212" t="s">
        <v>241</v>
      </c>
      <c r="P696" t="s">
        <v>274</v>
      </c>
      <c r="S696">
        <v>0</v>
      </c>
      <c r="T696">
        <v>0</v>
      </c>
      <c r="U696">
        <v>0</v>
      </c>
      <c r="V696">
        <v>0</v>
      </c>
      <c r="W696">
        <v>0</v>
      </c>
      <c r="X696" s="140">
        <v>204</v>
      </c>
      <c r="Y696" s="209">
        <f t="shared" si="10"/>
        <v>204</v>
      </c>
      <c r="Z696">
        <v>0</v>
      </c>
      <c r="AA696">
        <v>51000121071777</v>
      </c>
      <c r="AB696" t="s">
        <v>275</v>
      </c>
      <c r="AE696"/>
      <c r="AF696"/>
      <c r="AG696" t="s">
        <v>223</v>
      </c>
      <c r="AN696" t="s">
        <v>218</v>
      </c>
      <c r="AO696" t="s">
        <v>276</v>
      </c>
      <c r="AP696" t="s">
        <v>225</v>
      </c>
      <c r="AQ696">
        <v>0.13</v>
      </c>
      <c r="AR696" t="s">
        <v>277</v>
      </c>
    </row>
    <row r="697" hidden="1" spans="1:44">
      <c r="A697" t="s">
        <v>58</v>
      </c>
      <c r="B697" t="s">
        <v>25</v>
      </c>
      <c r="C697" s="209" t="s">
        <v>26</v>
      </c>
      <c r="D697" s="210">
        <v>71000121071132</v>
      </c>
      <c r="E697" s="211">
        <v>44390</v>
      </c>
      <c r="F697" t="s">
        <v>218</v>
      </c>
      <c r="G697" t="s">
        <v>272</v>
      </c>
      <c r="H697">
        <v>1</v>
      </c>
      <c r="I697" t="s">
        <v>78</v>
      </c>
      <c r="J697" t="s">
        <v>240</v>
      </c>
      <c r="K697" t="s">
        <v>221</v>
      </c>
      <c r="L697">
        <v>687</v>
      </c>
      <c r="M697" s="211">
        <v>44410</v>
      </c>
      <c r="O697" s="212" t="s">
        <v>227</v>
      </c>
      <c r="P697" t="s">
        <v>274</v>
      </c>
      <c r="S697">
        <v>0</v>
      </c>
      <c r="T697">
        <v>0</v>
      </c>
      <c r="U697">
        <v>0</v>
      </c>
      <c r="V697">
        <v>0</v>
      </c>
      <c r="W697">
        <v>0</v>
      </c>
      <c r="X697" s="140">
        <v>687</v>
      </c>
      <c r="Y697" s="209">
        <f t="shared" si="10"/>
        <v>687</v>
      </c>
      <c r="Z697">
        <v>0</v>
      </c>
      <c r="AA697">
        <v>51000121072085</v>
      </c>
      <c r="AB697" t="s">
        <v>275</v>
      </c>
      <c r="AE697"/>
      <c r="AF697"/>
      <c r="AG697" t="s">
        <v>223</v>
      </c>
      <c r="AN697" t="s">
        <v>218</v>
      </c>
      <c r="AO697" t="s">
        <v>276</v>
      </c>
      <c r="AP697" t="s">
        <v>225</v>
      </c>
      <c r="AQ697">
        <v>0.13</v>
      </c>
      <c r="AR697" t="s">
        <v>277</v>
      </c>
    </row>
    <row r="698" hidden="1" spans="1:44">
      <c r="A698" t="s">
        <v>58</v>
      </c>
      <c r="B698" t="s">
        <v>25</v>
      </c>
      <c r="C698" s="209" t="s">
        <v>26</v>
      </c>
      <c r="D698" s="210">
        <v>71000121071132</v>
      </c>
      <c r="E698" s="211">
        <v>44390</v>
      </c>
      <c r="F698" t="s">
        <v>218</v>
      </c>
      <c r="G698" t="s">
        <v>272</v>
      </c>
      <c r="H698">
        <v>2</v>
      </c>
      <c r="I698" t="s">
        <v>78</v>
      </c>
      <c r="J698" t="s">
        <v>240</v>
      </c>
      <c r="K698" t="s">
        <v>221</v>
      </c>
      <c r="L698">
        <v>786</v>
      </c>
      <c r="M698" s="211">
        <v>44417</v>
      </c>
      <c r="O698" s="212" t="s">
        <v>227</v>
      </c>
      <c r="P698" t="s">
        <v>274</v>
      </c>
      <c r="S698">
        <v>0</v>
      </c>
      <c r="T698">
        <v>0</v>
      </c>
      <c r="U698">
        <v>0</v>
      </c>
      <c r="V698">
        <v>0</v>
      </c>
      <c r="W698">
        <v>0</v>
      </c>
      <c r="X698" s="140">
        <v>786</v>
      </c>
      <c r="Y698" s="209">
        <f t="shared" si="10"/>
        <v>786</v>
      </c>
      <c r="Z698">
        <v>0</v>
      </c>
      <c r="AA698">
        <v>51000121072085</v>
      </c>
      <c r="AB698" t="s">
        <v>275</v>
      </c>
      <c r="AE698"/>
      <c r="AF698"/>
      <c r="AG698" t="s">
        <v>223</v>
      </c>
      <c r="AN698" t="s">
        <v>218</v>
      </c>
      <c r="AO698" t="s">
        <v>276</v>
      </c>
      <c r="AP698" t="s">
        <v>225</v>
      </c>
      <c r="AQ698">
        <v>0.13</v>
      </c>
      <c r="AR698" t="s">
        <v>277</v>
      </c>
    </row>
    <row r="699" hidden="1" spans="1:44">
      <c r="A699" t="s">
        <v>58</v>
      </c>
      <c r="B699" t="s">
        <v>25</v>
      </c>
      <c r="C699" s="209" t="s">
        <v>26</v>
      </c>
      <c r="D699" s="210">
        <v>71000121071132</v>
      </c>
      <c r="E699" s="211">
        <v>44390</v>
      </c>
      <c r="F699" t="s">
        <v>218</v>
      </c>
      <c r="G699" t="s">
        <v>272</v>
      </c>
      <c r="H699">
        <v>3</v>
      </c>
      <c r="I699" t="s">
        <v>78</v>
      </c>
      <c r="J699" t="s">
        <v>240</v>
      </c>
      <c r="K699" t="s">
        <v>221</v>
      </c>
      <c r="L699">
        <v>761</v>
      </c>
      <c r="M699" s="211">
        <v>44424</v>
      </c>
      <c r="O699" s="212" t="s">
        <v>227</v>
      </c>
      <c r="P699" t="s">
        <v>274</v>
      </c>
      <c r="S699">
        <v>0</v>
      </c>
      <c r="T699">
        <v>0</v>
      </c>
      <c r="U699">
        <v>0</v>
      </c>
      <c r="V699">
        <v>0</v>
      </c>
      <c r="W699">
        <v>0</v>
      </c>
      <c r="X699" s="140">
        <v>761</v>
      </c>
      <c r="Y699" s="209">
        <f t="shared" si="10"/>
        <v>761</v>
      </c>
      <c r="Z699">
        <v>0</v>
      </c>
      <c r="AA699">
        <v>51000121072085</v>
      </c>
      <c r="AB699" t="s">
        <v>275</v>
      </c>
      <c r="AE699"/>
      <c r="AF699"/>
      <c r="AG699" t="s">
        <v>223</v>
      </c>
      <c r="AN699" t="s">
        <v>218</v>
      </c>
      <c r="AO699" t="s">
        <v>276</v>
      </c>
      <c r="AP699" t="s">
        <v>225</v>
      </c>
      <c r="AQ699">
        <v>0.13</v>
      </c>
      <c r="AR699" t="s">
        <v>277</v>
      </c>
    </row>
    <row r="700" hidden="1" spans="1:44">
      <c r="A700" t="s">
        <v>58</v>
      </c>
      <c r="B700" t="s">
        <v>25</v>
      </c>
      <c r="C700" s="209" t="s">
        <v>26</v>
      </c>
      <c r="D700" s="210">
        <v>71000121071132</v>
      </c>
      <c r="E700" s="211">
        <v>44390</v>
      </c>
      <c r="F700" t="s">
        <v>218</v>
      </c>
      <c r="G700" t="s">
        <v>272</v>
      </c>
      <c r="H700">
        <v>4</v>
      </c>
      <c r="I700" t="s">
        <v>78</v>
      </c>
      <c r="J700" t="s">
        <v>240</v>
      </c>
      <c r="K700" t="s">
        <v>221</v>
      </c>
      <c r="L700">
        <v>559</v>
      </c>
      <c r="M700" s="211">
        <v>44452</v>
      </c>
      <c r="O700" s="212" t="s">
        <v>241</v>
      </c>
      <c r="P700" t="s">
        <v>274</v>
      </c>
      <c r="S700">
        <v>0</v>
      </c>
      <c r="T700">
        <v>0</v>
      </c>
      <c r="U700">
        <v>0</v>
      </c>
      <c r="V700">
        <v>0</v>
      </c>
      <c r="W700">
        <v>0</v>
      </c>
      <c r="X700" s="140">
        <v>559</v>
      </c>
      <c r="Y700" s="209">
        <f t="shared" si="10"/>
        <v>559</v>
      </c>
      <c r="Z700">
        <v>0</v>
      </c>
      <c r="AA700">
        <v>51000121072085</v>
      </c>
      <c r="AB700" t="s">
        <v>275</v>
      </c>
      <c r="AE700"/>
      <c r="AF700"/>
      <c r="AG700" t="s">
        <v>223</v>
      </c>
      <c r="AN700" t="s">
        <v>218</v>
      </c>
      <c r="AO700" t="s">
        <v>276</v>
      </c>
      <c r="AP700" t="s">
        <v>225</v>
      </c>
      <c r="AQ700">
        <v>0.13</v>
      </c>
      <c r="AR700" t="s">
        <v>277</v>
      </c>
    </row>
    <row r="701" hidden="1" spans="1:44">
      <c r="A701" t="s">
        <v>58</v>
      </c>
      <c r="B701" t="s">
        <v>25</v>
      </c>
      <c r="C701" s="209" t="s">
        <v>26</v>
      </c>
      <c r="D701" s="210">
        <v>71000121071132</v>
      </c>
      <c r="E701" s="211">
        <v>44390</v>
      </c>
      <c r="F701" t="s">
        <v>218</v>
      </c>
      <c r="G701" t="s">
        <v>272</v>
      </c>
      <c r="H701">
        <v>5</v>
      </c>
      <c r="I701" t="s">
        <v>78</v>
      </c>
      <c r="J701" t="s">
        <v>240</v>
      </c>
      <c r="K701" t="s">
        <v>221</v>
      </c>
      <c r="L701">
        <v>502</v>
      </c>
      <c r="M701" s="211">
        <v>44466</v>
      </c>
      <c r="O701" s="212" t="s">
        <v>241</v>
      </c>
      <c r="P701" t="s">
        <v>274</v>
      </c>
      <c r="S701">
        <v>0</v>
      </c>
      <c r="T701">
        <v>0</v>
      </c>
      <c r="U701">
        <v>0</v>
      </c>
      <c r="V701">
        <v>0</v>
      </c>
      <c r="W701">
        <v>0</v>
      </c>
      <c r="X701" s="140">
        <v>502</v>
      </c>
      <c r="Y701" s="209">
        <f t="shared" si="10"/>
        <v>502</v>
      </c>
      <c r="Z701">
        <v>0</v>
      </c>
      <c r="AA701">
        <v>51000121072085</v>
      </c>
      <c r="AB701" t="s">
        <v>275</v>
      </c>
      <c r="AE701"/>
      <c r="AF701"/>
      <c r="AG701" t="s">
        <v>223</v>
      </c>
      <c r="AN701" t="s">
        <v>218</v>
      </c>
      <c r="AO701" t="s">
        <v>276</v>
      </c>
      <c r="AP701" t="s">
        <v>225</v>
      </c>
      <c r="AQ701">
        <v>0.13</v>
      </c>
      <c r="AR701" t="s">
        <v>277</v>
      </c>
    </row>
    <row r="702" hidden="1" spans="1:44">
      <c r="A702" t="s">
        <v>58</v>
      </c>
      <c r="B702" t="s">
        <v>25</v>
      </c>
      <c r="C702" s="209" t="s">
        <v>26</v>
      </c>
      <c r="D702" s="210">
        <v>71000121071132</v>
      </c>
      <c r="E702" s="211">
        <v>44390</v>
      </c>
      <c r="F702" t="s">
        <v>218</v>
      </c>
      <c r="G702" t="s">
        <v>272</v>
      </c>
      <c r="H702">
        <v>6</v>
      </c>
      <c r="I702" t="s">
        <v>282</v>
      </c>
      <c r="J702" t="s">
        <v>283</v>
      </c>
      <c r="K702" t="s">
        <v>221</v>
      </c>
      <c r="L702">
        <v>2614</v>
      </c>
      <c r="M702" s="211">
        <v>44466</v>
      </c>
      <c r="O702" s="212" t="s">
        <v>241</v>
      </c>
      <c r="P702" t="s">
        <v>274</v>
      </c>
      <c r="S702">
        <v>0</v>
      </c>
      <c r="T702">
        <v>0</v>
      </c>
      <c r="U702">
        <v>0</v>
      </c>
      <c r="V702">
        <v>0</v>
      </c>
      <c r="W702">
        <v>0</v>
      </c>
      <c r="X702" s="140">
        <v>2614</v>
      </c>
      <c r="Y702" s="209">
        <f t="shared" si="10"/>
        <v>2614</v>
      </c>
      <c r="Z702">
        <v>0</v>
      </c>
      <c r="AA702">
        <v>51000121072085</v>
      </c>
      <c r="AB702" t="s">
        <v>275</v>
      </c>
      <c r="AE702"/>
      <c r="AF702"/>
      <c r="AG702" t="s">
        <v>223</v>
      </c>
      <c r="AN702" t="s">
        <v>218</v>
      </c>
      <c r="AO702" t="s">
        <v>276</v>
      </c>
      <c r="AP702" t="s">
        <v>225</v>
      </c>
      <c r="AQ702">
        <v>0.13</v>
      </c>
      <c r="AR702" t="s">
        <v>277</v>
      </c>
    </row>
    <row r="703" hidden="1" spans="1:44">
      <c r="A703" t="s">
        <v>58</v>
      </c>
      <c r="B703" t="s">
        <v>25</v>
      </c>
      <c r="C703" s="209" t="s">
        <v>26</v>
      </c>
      <c r="D703" s="210">
        <v>71000121071132</v>
      </c>
      <c r="E703" s="211">
        <v>44390</v>
      </c>
      <c r="F703" t="s">
        <v>218</v>
      </c>
      <c r="G703" t="s">
        <v>272</v>
      </c>
      <c r="H703">
        <v>7</v>
      </c>
      <c r="I703" t="s">
        <v>282</v>
      </c>
      <c r="J703" t="s">
        <v>283</v>
      </c>
      <c r="K703" t="s">
        <v>221</v>
      </c>
      <c r="L703">
        <v>2588</v>
      </c>
      <c r="M703" s="211">
        <v>44473</v>
      </c>
      <c r="O703" s="212" t="s">
        <v>252</v>
      </c>
      <c r="P703" t="s">
        <v>274</v>
      </c>
      <c r="S703">
        <v>0</v>
      </c>
      <c r="T703">
        <v>0</v>
      </c>
      <c r="U703">
        <v>0</v>
      </c>
      <c r="V703">
        <v>0</v>
      </c>
      <c r="W703">
        <v>0</v>
      </c>
      <c r="X703" s="140">
        <v>2588</v>
      </c>
      <c r="Y703" s="209">
        <f t="shared" si="10"/>
        <v>2588</v>
      </c>
      <c r="Z703">
        <v>0</v>
      </c>
      <c r="AA703">
        <v>51000121072085</v>
      </c>
      <c r="AB703" t="s">
        <v>275</v>
      </c>
      <c r="AE703"/>
      <c r="AF703"/>
      <c r="AG703" t="s">
        <v>223</v>
      </c>
      <c r="AN703" t="s">
        <v>218</v>
      </c>
      <c r="AO703" t="s">
        <v>276</v>
      </c>
      <c r="AP703" t="s">
        <v>225</v>
      </c>
      <c r="AQ703">
        <v>0.13</v>
      </c>
      <c r="AR703" t="s">
        <v>277</v>
      </c>
    </row>
    <row r="704" hidden="1" spans="1:44">
      <c r="A704" t="s">
        <v>58</v>
      </c>
      <c r="B704" t="s">
        <v>25</v>
      </c>
      <c r="C704" s="209" t="s">
        <v>26</v>
      </c>
      <c r="D704" s="210">
        <v>71000121071132</v>
      </c>
      <c r="E704" s="211">
        <v>44390</v>
      </c>
      <c r="F704" t="s">
        <v>218</v>
      </c>
      <c r="G704" t="s">
        <v>272</v>
      </c>
      <c r="H704">
        <v>8</v>
      </c>
      <c r="I704" t="s">
        <v>87</v>
      </c>
      <c r="J704" t="s">
        <v>279</v>
      </c>
      <c r="K704" t="s">
        <v>221</v>
      </c>
      <c r="L704">
        <v>725</v>
      </c>
      <c r="M704" s="211">
        <v>44410</v>
      </c>
      <c r="O704" s="212" t="s">
        <v>227</v>
      </c>
      <c r="P704" t="s">
        <v>274</v>
      </c>
      <c r="S704">
        <v>0</v>
      </c>
      <c r="T704">
        <v>0</v>
      </c>
      <c r="U704">
        <v>0</v>
      </c>
      <c r="V704">
        <v>0</v>
      </c>
      <c r="W704">
        <v>0</v>
      </c>
      <c r="X704" s="140">
        <v>725</v>
      </c>
      <c r="Y704" s="209">
        <f t="shared" si="10"/>
        <v>725</v>
      </c>
      <c r="Z704">
        <v>0</v>
      </c>
      <c r="AA704">
        <v>51000121072085</v>
      </c>
      <c r="AB704" t="s">
        <v>275</v>
      </c>
      <c r="AE704"/>
      <c r="AF704"/>
      <c r="AG704" t="s">
        <v>223</v>
      </c>
      <c r="AN704" t="s">
        <v>218</v>
      </c>
      <c r="AO704" t="s">
        <v>276</v>
      </c>
      <c r="AP704" t="s">
        <v>225</v>
      </c>
      <c r="AQ704">
        <v>0.13</v>
      </c>
      <c r="AR704" t="s">
        <v>277</v>
      </c>
    </row>
    <row r="705" hidden="1" spans="1:44">
      <c r="A705" t="s">
        <v>58</v>
      </c>
      <c r="B705" t="s">
        <v>25</v>
      </c>
      <c r="C705" s="209" t="s">
        <v>26</v>
      </c>
      <c r="D705" s="210">
        <v>71000121071132</v>
      </c>
      <c r="E705" s="211">
        <v>44390</v>
      </c>
      <c r="F705" t="s">
        <v>218</v>
      </c>
      <c r="G705" t="s">
        <v>272</v>
      </c>
      <c r="H705">
        <v>9</v>
      </c>
      <c r="I705" t="s">
        <v>87</v>
      </c>
      <c r="J705" t="s">
        <v>279</v>
      </c>
      <c r="K705" t="s">
        <v>221</v>
      </c>
      <c r="L705">
        <v>1404</v>
      </c>
      <c r="M705" s="211">
        <v>44417</v>
      </c>
      <c r="O705" s="212" t="s">
        <v>227</v>
      </c>
      <c r="P705" t="s">
        <v>274</v>
      </c>
      <c r="S705">
        <v>0</v>
      </c>
      <c r="T705">
        <v>0</v>
      </c>
      <c r="U705">
        <v>0</v>
      </c>
      <c r="V705">
        <v>0</v>
      </c>
      <c r="W705">
        <v>0</v>
      </c>
      <c r="X705" s="140">
        <v>1404</v>
      </c>
      <c r="Y705" s="209">
        <f t="shared" si="10"/>
        <v>1404</v>
      </c>
      <c r="Z705">
        <v>0</v>
      </c>
      <c r="AA705">
        <v>51000121072085</v>
      </c>
      <c r="AB705" t="s">
        <v>275</v>
      </c>
      <c r="AE705"/>
      <c r="AF705"/>
      <c r="AG705" t="s">
        <v>223</v>
      </c>
      <c r="AN705" t="s">
        <v>218</v>
      </c>
      <c r="AO705" t="s">
        <v>276</v>
      </c>
      <c r="AP705" t="s">
        <v>225</v>
      </c>
      <c r="AQ705">
        <v>0.13</v>
      </c>
      <c r="AR705" t="s">
        <v>277</v>
      </c>
    </row>
    <row r="706" hidden="1" spans="1:44">
      <c r="A706" t="s">
        <v>58</v>
      </c>
      <c r="B706" t="s">
        <v>25</v>
      </c>
      <c r="C706" s="209" t="s">
        <v>26</v>
      </c>
      <c r="D706" s="210">
        <v>71000121071132</v>
      </c>
      <c r="E706" s="211">
        <v>44390</v>
      </c>
      <c r="F706" t="s">
        <v>218</v>
      </c>
      <c r="G706" t="s">
        <v>272</v>
      </c>
      <c r="H706">
        <v>10</v>
      </c>
      <c r="I706" t="s">
        <v>87</v>
      </c>
      <c r="J706" t="s">
        <v>279</v>
      </c>
      <c r="K706" t="s">
        <v>221</v>
      </c>
      <c r="L706">
        <v>1404</v>
      </c>
      <c r="M706" s="211">
        <v>44424</v>
      </c>
      <c r="O706" s="212" t="s">
        <v>227</v>
      </c>
      <c r="P706" t="s">
        <v>274</v>
      </c>
      <c r="S706">
        <v>0</v>
      </c>
      <c r="T706">
        <v>0</v>
      </c>
      <c r="U706">
        <v>0</v>
      </c>
      <c r="V706">
        <v>0</v>
      </c>
      <c r="W706">
        <v>0</v>
      </c>
      <c r="X706" s="140">
        <v>1404</v>
      </c>
      <c r="Y706" s="209">
        <f t="shared" si="10"/>
        <v>1404</v>
      </c>
      <c r="Z706">
        <v>0</v>
      </c>
      <c r="AA706">
        <v>51000121072085</v>
      </c>
      <c r="AB706" t="s">
        <v>275</v>
      </c>
      <c r="AE706"/>
      <c r="AF706"/>
      <c r="AG706" t="s">
        <v>223</v>
      </c>
      <c r="AN706" t="s">
        <v>218</v>
      </c>
      <c r="AO706" t="s">
        <v>276</v>
      </c>
      <c r="AP706" t="s">
        <v>225</v>
      </c>
      <c r="AQ706">
        <v>0.13</v>
      </c>
      <c r="AR706" t="s">
        <v>277</v>
      </c>
    </row>
    <row r="707" hidden="1" spans="1:44">
      <c r="A707" t="s">
        <v>58</v>
      </c>
      <c r="B707" t="s">
        <v>25</v>
      </c>
      <c r="C707" s="209" t="s">
        <v>26</v>
      </c>
      <c r="D707" s="210">
        <v>71000121071132</v>
      </c>
      <c r="E707" s="211">
        <v>44390</v>
      </c>
      <c r="F707" t="s">
        <v>218</v>
      </c>
      <c r="G707" t="s">
        <v>272</v>
      </c>
      <c r="H707">
        <v>11</v>
      </c>
      <c r="I707" t="s">
        <v>87</v>
      </c>
      <c r="J707" t="s">
        <v>279</v>
      </c>
      <c r="K707" t="s">
        <v>221</v>
      </c>
      <c r="L707">
        <v>1404</v>
      </c>
      <c r="M707" s="211">
        <v>44431</v>
      </c>
      <c r="O707" s="212" t="s">
        <v>227</v>
      </c>
      <c r="P707" t="s">
        <v>274</v>
      </c>
      <c r="S707">
        <v>0</v>
      </c>
      <c r="T707">
        <v>0</v>
      </c>
      <c r="U707">
        <v>0</v>
      </c>
      <c r="V707">
        <v>0</v>
      </c>
      <c r="W707">
        <v>0</v>
      </c>
      <c r="X707" s="140">
        <v>1404</v>
      </c>
      <c r="Y707" s="209">
        <f t="shared" ref="Y707:Y715" si="11">L707-S707</f>
        <v>1404</v>
      </c>
      <c r="Z707">
        <v>0</v>
      </c>
      <c r="AA707">
        <v>51000121072085</v>
      </c>
      <c r="AB707" t="s">
        <v>275</v>
      </c>
      <c r="AE707"/>
      <c r="AF707"/>
      <c r="AG707" t="s">
        <v>223</v>
      </c>
      <c r="AN707" t="s">
        <v>218</v>
      </c>
      <c r="AO707" t="s">
        <v>276</v>
      </c>
      <c r="AP707" t="s">
        <v>225</v>
      </c>
      <c r="AQ707">
        <v>0.13</v>
      </c>
      <c r="AR707" t="s">
        <v>277</v>
      </c>
    </row>
    <row r="708" hidden="1" spans="1:44">
      <c r="A708" t="s">
        <v>58</v>
      </c>
      <c r="B708" t="s">
        <v>25</v>
      </c>
      <c r="C708" s="209" t="s">
        <v>26</v>
      </c>
      <c r="D708" s="210">
        <v>71000121071132</v>
      </c>
      <c r="E708" s="211">
        <v>44390</v>
      </c>
      <c r="F708" t="s">
        <v>218</v>
      </c>
      <c r="G708" t="s">
        <v>272</v>
      </c>
      <c r="H708">
        <v>12</v>
      </c>
      <c r="I708" t="s">
        <v>87</v>
      </c>
      <c r="J708" t="s">
        <v>279</v>
      </c>
      <c r="K708" t="s">
        <v>221</v>
      </c>
      <c r="L708">
        <v>195</v>
      </c>
      <c r="M708" s="211">
        <v>44438</v>
      </c>
      <c r="O708" s="212" t="s">
        <v>227</v>
      </c>
      <c r="P708" t="s">
        <v>274</v>
      </c>
      <c r="S708">
        <v>0</v>
      </c>
      <c r="T708">
        <v>0</v>
      </c>
      <c r="U708">
        <v>0</v>
      </c>
      <c r="V708">
        <v>0</v>
      </c>
      <c r="W708">
        <v>0</v>
      </c>
      <c r="X708" s="140">
        <v>195</v>
      </c>
      <c r="Y708" s="209">
        <f t="shared" si="11"/>
        <v>195</v>
      </c>
      <c r="Z708">
        <v>0</v>
      </c>
      <c r="AA708">
        <v>51000121072085</v>
      </c>
      <c r="AB708" t="s">
        <v>275</v>
      </c>
      <c r="AE708"/>
      <c r="AF708"/>
      <c r="AG708" t="s">
        <v>223</v>
      </c>
      <c r="AN708" t="s">
        <v>218</v>
      </c>
      <c r="AO708" t="s">
        <v>276</v>
      </c>
      <c r="AP708" t="s">
        <v>225</v>
      </c>
      <c r="AQ708">
        <v>0.13</v>
      </c>
      <c r="AR708" t="s">
        <v>277</v>
      </c>
    </row>
    <row r="709" hidden="1" spans="1:44">
      <c r="A709" t="s">
        <v>58</v>
      </c>
      <c r="B709" t="s">
        <v>25</v>
      </c>
      <c r="C709" s="209" t="s">
        <v>26</v>
      </c>
      <c r="D709" s="210">
        <v>71000121071132</v>
      </c>
      <c r="E709" s="211">
        <v>44390</v>
      </c>
      <c r="F709" t="s">
        <v>218</v>
      </c>
      <c r="G709" t="s">
        <v>272</v>
      </c>
      <c r="H709">
        <v>13</v>
      </c>
      <c r="I709" t="s">
        <v>88</v>
      </c>
      <c r="J709" t="s">
        <v>229</v>
      </c>
      <c r="K709" t="s">
        <v>221</v>
      </c>
      <c r="L709">
        <v>2218</v>
      </c>
      <c r="M709" s="211">
        <v>44438</v>
      </c>
      <c r="O709" s="212" t="s">
        <v>227</v>
      </c>
      <c r="P709" t="s">
        <v>274</v>
      </c>
      <c r="S709">
        <v>0</v>
      </c>
      <c r="T709">
        <v>0</v>
      </c>
      <c r="U709">
        <v>0</v>
      </c>
      <c r="V709">
        <v>0</v>
      </c>
      <c r="W709">
        <v>0</v>
      </c>
      <c r="X709" s="140">
        <v>2218</v>
      </c>
      <c r="Y709" s="209">
        <f t="shared" si="11"/>
        <v>2218</v>
      </c>
      <c r="Z709">
        <v>0</v>
      </c>
      <c r="AA709">
        <v>51000121072085</v>
      </c>
      <c r="AB709" t="s">
        <v>275</v>
      </c>
      <c r="AE709"/>
      <c r="AF709"/>
      <c r="AG709" t="s">
        <v>223</v>
      </c>
      <c r="AN709" t="s">
        <v>218</v>
      </c>
      <c r="AO709" t="s">
        <v>276</v>
      </c>
      <c r="AP709" t="s">
        <v>225</v>
      </c>
      <c r="AQ709">
        <v>0.13</v>
      </c>
      <c r="AR709" t="s">
        <v>277</v>
      </c>
    </row>
    <row r="710" hidden="1" spans="1:44">
      <c r="A710" t="s">
        <v>58</v>
      </c>
      <c r="B710" t="s">
        <v>25</v>
      </c>
      <c r="C710" s="209" t="s">
        <v>26</v>
      </c>
      <c r="D710" s="210">
        <v>71000121071132</v>
      </c>
      <c r="E710" s="211">
        <v>44390</v>
      </c>
      <c r="F710" t="s">
        <v>218</v>
      </c>
      <c r="G710" t="s">
        <v>272</v>
      </c>
      <c r="H710">
        <v>14</v>
      </c>
      <c r="I710" t="s">
        <v>89</v>
      </c>
      <c r="J710" t="s">
        <v>229</v>
      </c>
      <c r="K710" t="s">
        <v>221</v>
      </c>
      <c r="L710">
        <v>505</v>
      </c>
      <c r="M710" s="211">
        <v>44410</v>
      </c>
      <c r="O710" s="212" t="s">
        <v>227</v>
      </c>
      <c r="P710" t="s">
        <v>274</v>
      </c>
      <c r="S710">
        <v>0</v>
      </c>
      <c r="T710">
        <v>0</v>
      </c>
      <c r="U710">
        <v>0</v>
      </c>
      <c r="V710">
        <v>0</v>
      </c>
      <c r="W710">
        <v>0</v>
      </c>
      <c r="X710" s="140">
        <v>505</v>
      </c>
      <c r="Y710" s="209">
        <f t="shared" si="11"/>
        <v>505</v>
      </c>
      <c r="Z710">
        <v>0</v>
      </c>
      <c r="AA710">
        <v>51000121072085</v>
      </c>
      <c r="AB710" t="s">
        <v>275</v>
      </c>
      <c r="AE710"/>
      <c r="AF710"/>
      <c r="AG710" t="s">
        <v>223</v>
      </c>
      <c r="AN710" t="s">
        <v>218</v>
      </c>
      <c r="AO710" t="s">
        <v>276</v>
      </c>
      <c r="AP710" t="s">
        <v>225</v>
      </c>
      <c r="AQ710">
        <v>0.13</v>
      </c>
      <c r="AR710" t="s">
        <v>277</v>
      </c>
    </row>
    <row r="711" hidden="1" spans="1:44">
      <c r="A711" t="s">
        <v>58</v>
      </c>
      <c r="B711" t="s">
        <v>25</v>
      </c>
      <c r="C711" s="209" t="s">
        <v>26</v>
      </c>
      <c r="D711" s="210">
        <v>71000121071132</v>
      </c>
      <c r="E711" s="211">
        <v>44390</v>
      </c>
      <c r="F711" t="s">
        <v>218</v>
      </c>
      <c r="G711" t="s">
        <v>272</v>
      </c>
      <c r="H711">
        <v>15</v>
      </c>
      <c r="I711" t="s">
        <v>284</v>
      </c>
      <c r="J711" t="s">
        <v>229</v>
      </c>
      <c r="K711" t="s">
        <v>221</v>
      </c>
      <c r="L711">
        <v>1550</v>
      </c>
      <c r="M711" s="211">
        <v>44466</v>
      </c>
      <c r="O711" s="212" t="s">
        <v>241</v>
      </c>
      <c r="P711" t="s">
        <v>274</v>
      </c>
      <c r="S711">
        <v>0</v>
      </c>
      <c r="T711">
        <v>0</v>
      </c>
      <c r="U711">
        <v>0</v>
      </c>
      <c r="V711">
        <v>0</v>
      </c>
      <c r="W711">
        <v>0</v>
      </c>
      <c r="X711" s="140">
        <v>1550</v>
      </c>
      <c r="Y711" s="209">
        <f t="shared" si="11"/>
        <v>1550</v>
      </c>
      <c r="Z711">
        <v>0</v>
      </c>
      <c r="AA711">
        <v>51000121072085</v>
      </c>
      <c r="AB711" t="s">
        <v>275</v>
      </c>
      <c r="AE711"/>
      <c r="AF711"/>
      <c r="AG711" t="s">
        <v>223</v>
      </c>
      <c r="AN711" t="s">
        <v>218</v>
      </c>
      <c r="AO711" t="s">
        <v>276</v>
      </c>
      <c r="AP711" t="s">
        <v>225</v>
      </c>
      <c r="AQ711">
        <v>0.13</v>
      </c>
      <c r="AR711" t="s">
        <v>277</v>
      </c>
    </row>
    <row r="712" hidden="1" spans="1:44">
      <c r="A712" t="s">
        <v>58</v>
      </c>
      <c r="B712" t="s">
        <v>25</v>
      </c>
      <c r="C712" s="209" t="s">
        <v>26</v>
      </c>
      <c r="D712" s="210">
        <v>71000121071132</v>
      </c>
      <c r="E712" s="211">
        <v>44390</v>
      </c>
      <c r="F712" t="s">
        <v>218</v>
      </c>
      <c r="G712" t="s">
        <v>272</v>
      </c>
      <c r="H712">
        <v>16</v>
      </c>
      <c r="I712" t="s">
        <v>284</v>
      </c>
      <c r="J712" t="s">
        <v>229</v>
      </c>
      <c r="K712" t="s">
        <v>221</v>
      </c>
      <c r="L712">
        <v>2070</v>
      </c>
      <c r="M712" s="211">
        <v>44473</v>
      </c>
      <c r="O712" s="212" t="s">
        <v>252</v>
      </c>
      <c r="P712" t="s">
        <v>274</v>
      </c>
      <c r="S712">
        <v>0</v>
      </c>
      <c r="T712">
        <v>0</v>
      </c>
      <c r="U712">
        <v>0</v>
      </c>
      <c r="V712">
        <v>0</v>
      </c>
      <c r="W712">
        <v>0</v>
      </c>
      <c r="X712" s="140">
        <v>2070</v>
      </c>
      <c r="Y712" s="209">
        <f t="shared" si="11"/>
        <v>2070</v>
      </c>
      <c r="Z712">
        <v>0</v>
      </c>
      <c r="AA712">
        <v>51000121072085</v>
      </c>
      <c r="AB712" t="s">
        <v>275</v>
      </c>
      <c r="AE712"/>
      <c r="AF712"/>
      <c r="AG712" t="s">
        <v>223</v>
      </c>
      <c r="AN712" t="s">
        <v>218</v>
      </c>
      <c r="AO712" t="s">
        <v>276</v>
      </c>
      <c r="AP712" t="s">
        <v>225</v>
      </c>
      <c r="AQ712">
        <v>0.13</v>
      </c>
      <c r="AR712" t="s">
        <v>277</v>
      </c>
    </row>
    <row r="713" hidden="1" spans="1:44">
      <c r="A713" t="s">
        <v>58</v>
      </c>
      <c r="B713" t="s">
        <v>25</v>
      </c>
      <c r="C713" s="209" t="s">
        <v>26</v>
      </c>
      <c r="D713" s="210">
        <v>71000121071132</v>
      </c>
      <c r="E713" s="211">
        <v>44390</v>
      </c>
      <c r="F713" t="s">
        <v>218</v>
      </c>
      <c r="G713" t="s">
        <v>272</v>
      </c>
      <c r="H713">
        <v>17</v>
      </c>
      <c r="I713" t="s">
        <v>90</v>
      </c>
      <c r="J713" t="s">
        <v>269</v>
      </c>
      <c r="K713" t="s">
        <v>221</v>
      </c>
      <c r="L713">
        <v>482</v>
      </c>
      <c r="M713" s="211">
        <v>44438</v>
      </c>
      <c r="O713" s="212" t="s">
        <v>227</v>
      </c>
      <c r="P713" t="s">
        <v>274</v>
      </c>
      <c r="S713">
        <v>0</v>
      </c>
      <c r="T713">
        <v>0</v>
      </c>
      <c r="U713">
        <v>0</v>
      </c>
      <c r="V713">
        <v>0</v>
      </c>
      <c r="W713">
        <v>0</v>
      </c>
      <c r="X713" s="140">
        <v>482</v>
      </c>
      <c r="Y713" s="209">
        <f t="shared" si="11"/>
        <v>482</v>
      </c>
      <c r="Z713">
        <v>0</v>
      </c>
      <c r="AA713">
        <v>51000121072085</v>
      </c>
      <c r="AB713" t="s">
        <v>275</v>
      </c>
      <c r="AE713"/>
      <c r="AF713"/>
      <c r="AG713" t="s">
        <v>223</v>
      </c>
      <c r="AN713" t="s">
        <v>218</v>
      </c>
      <c r="AO713" t="s">
        <v>276</v>
      </c>
      <c r="AP713" t="s">
        <v>225</v>
      </c>
      <c r="AQ713">
        <v>0.13</v>
      </c>
      <c r="AR713" t="s">
        <v>277</v>
      </c>
    </row>
    <row r="714" hidden="1" spans="1:44">
      <c r="A714" t="s">
        <v>58</v>
      </c>
      <c r="B714" t="s">
        <v>25</v>
      </c>
      <c r="C714" s="209" t="s">
        <v>26</v>
      </c>
      <c r="D714" s="210">
        <v>71000121071132</v>
      </c>
      <c r="E714" s="211">
        <v>44390</v>
      </c>
      <c r="F714" t="s">
        <v>218</v>
      </c>
      <c r="G714" t="s">
        <v>272</v>
      </c>
      <c r="H714">
        <v>18</v>
      </c>
      <c r="I714" t="s">
        <v>85</v>
      </c>
      <c r="J714" t="s">
        <v>278</v>
      </c>
      <c r="K714" t="s">
        <v>221</v>
      </c>
      <c r="L714">
        <v>1277</v>
      </c>
      <c r="M714" s="211">
        <v>44473</v>
      </c>
      <c r="O714" s="212" t="s">
        <v>252</v>
      </c>
      <c r="P714" t="s">
        <v>274</v>
      </c>
      <c r="S714">
        <v>0</v>
      </c>
      <c r="T714">
        <v>0</v>
      </c>
      <c r="U714">
        <v>0</v>
      </c>
      <c r="V714">
        <v>0</v>
      </c>
      <c r="W714">
        <v>0</v>
      </c>
      <c r="X714" s="140">
        <v>1277</v>
      </c>
      <c r="Y714" s="209">
        <f t="shared" si="11"/>
        <v>1277</v>
      </c>
      <c r="Z714">
        <v>0</v>
      </c>
      <c r="AA714">
        <v>51000121072085</v>
      </c>
      <c r="AB714" t="s">
        <v>275</v>
      </c>
      <c r="AE714"/>
      <c r="AF714"/>
      <c r="AG714" t="s">
        <v>223</v>
      </c>
      <c r="AN714" t="s">
        <v>218</v>
      </c>
      <c r="AO714" t="s">
        <v>276</v>
      </c>
      <c r="AP714" t="s">
        <v>225</v>
      </c>
      <c r="AQ714">
        <v>0.13</v>
      </c>
      <c r="AR714" t="s">
        <v>277</v>
      </c>
    </row>
    <row r="715" hidden="1" spans="1:44">
      <c r="A715" t="s">
        <v>58</v>
      </c>
      <c r="B715" t="s">
        <v>25</v>
      </c>
      <c r="C715" s="209" t="s">
        <v>26</v>
      </c>
      <c r="D715" s="210">
        <v>71000121071331</v>
      </c>
      <c r="E715" s="211">
        <v>44392</v>
      </c>
      <c r="F715" t="s">
        <v>218</v>
      </c>
      <c r="G715" t="s">
        <v>272</v>
      </c>
      <c r="H715">
        <v>1</v>
      </c>
      <c r="I715" t="s">
        <v>82</v>
      </c>
      <c r="J715" t="s">
        <v>240</v>
      </c>
      <c r="K715" t="s">
        <v>221</v>
      </c>
      <c r="L715">
        <v>3764</v>
      </c>
      <c r="M715" s="211">
        <v>44397</v>
      </c>
      <c r="O715" s="212" t="s">
        <v>60</v>
      </c>
      <c r="P715" t="s">
        <v>274</v>
      </c>
      <c r="S715">
        <v>0</v>
      </c>
      <c r="T715">
        <v>0</v>
      </c>
      <c r="U715">
        <v>0</v>
      </c>
      <c r="V715">
        <v>0</v>
      </c>
      <c r="W715">
        <v>0</v>
      </c>
      <c r="X715" s="140">
        <v>3764</v>
      </c>
      <c r="Y715" s="209">
        <f t="shared" si="11"/>
        <v>3764</v>
      </c>
      <c r="Z715">
        <v>0</v>
      </c>
      <c r="AA715">
        <v>51000121072354</v>
      </c>
      <c r="AB715" t="s">
        <v>275</v>
      </c>
      <c r="AE715"/>
      <c r="AF715"/>
      <c r="AG715" t="s">
        <v>223</v>
      </c>
      <c r="AN715" t="s">
        <v>218</v>
      </c>
      <c r="AO715" t="s">
        <v>276</v>
      </c>
      <c r="AP715" t="s">
        <v>225</v>
      </c>
      <c r="AQ715">
        <v>0.13</v>
      </c>
      <c r="AR715" t="s">
        <v>277</v>
      </c>
    </row>
  </sheetData>
  <autoFilter ref="A2:AR715">
    <filterColumn colId="8">
      <customFilters>
        <customFilter operator="equal" val="6F116501PN"/>
      </customFilters>
    </filterColumn>
    <sortState ref="A2:AR715">
      <sortCondition ref="N2"/>
    </sortState>
    <extLst/>
  </autoFilter>
  <hyperlinks>
    <hyperlink ref="A1" location="目录!A1" display="返回"/>
  </hyperlink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39"/>
  <sheetViews>
    <sheetView topLeftCell="A2" workbookViewId="0">
      <selection activeCell="K20" sqref="K20"/>
    </sheetView>
  </sheetViews>
  <sheetFormatPr defaultColWidth="9" defaultRowHeight="13.5"/>
  <cols>
    <col min="1" max="1" width="9.21666666666667" style="196" customWidth="1"/>
    <col min="2" max="2" width="6" style="196" customWidth="1"/>
    <col min="3" max="4" width="12.8833333333333" style="196"/>
    <col min="5" max="5" width="14.8833333333333" style="196" customWidth="1"/>
    <col min="6" max="6" width="19.3333333333333" style="196" customWidth="1"/>
    <col min="7" max="7" width="7.33333333333333" style="196"/>
    <col min="8" max="8" width="4.33333333333333" style="196"/>
    <col min="9" max="9" width="9.66666666666667" style="196"/>
    <col min="10" max="10" width="6.66666666666667" style="196"/>
    <col min="11" max="11" width="18.3333333333333" style="196" customWidth="1"/>
    <col min="12" max="12" width="17.4416666666667" style="196" customWidth="1"/>
    <col min="13" max="13" width="11" style="196" customWidth="1"/>
    <col min="14" max="15" width="9.66666666666667" style="196"/>
    <col min="16" max="16" width="4.33333333333333" style="196"/>
    <col min="17" max="16384" width="9" style="196"/>
  </cols>
  <sheetData>
    <row r="1" spans="1:1">
      <c r="A1" s="145" t="s">
        <v>14</v>
      </c>
    </row>
    <row r="2" ht="14.25" spans="1:16">
      <c r="A2" s="197" t="s">
        <v>285</v>
      </c>
      <c r="B2" s="198" t="s">
        <v>57</v>
      </c>
      <c r="C2" s="199" t="s">
        <v>286</v>
      </c>
      <c r="D2" s="199" t="s">
        <v>287</v>
      </c>
      <c r="E2" s="199" t="s">
        <v>177</v>
      </c>
      <c r="F2" s="199" t="s">
        <v>288</v>
      </c>
      <c r="G2" s="199" t="s">
        <v>289</v>
      </c>
      <c r="H2" s="199" t="s">
        <v>189</v>
      </c>
      <c r="I2" s="199" t="s">
        <v>290</v>
      </c>
      <c r="J2" s="199" t="s">
        <v>291</v>
      </c>
      <c r="K2" s="199" t="s">
        <v>292</v>
      </c>
      <c r="L2" s="199" t="s">
        <v>61</v>
      </c>
      <c r="M2" s="199" t="s">
        <v>175</v>
      </c>
      <c r="N2" s="199" t="s">
        <v>293</v>
      </c>
      <c r="O2" s="199" t="s">
        <v>179</v>
      </c>
      <c r="P2" s="205" t="s">
        <v>294</v>
      </c>
    </row>
    <row r="3" ht="14.25" spans="1:16">
      <c r="A3" s="200">
        <v>36</v>
      </c>
      <c r="B3" s="201" t="s">
        <v>174</v>
      </c>
      <c r="C3" s="202">
        <v>44378.4009722222</v>
      </c>
      <c r="D3" s="202">
        <v>44378.4013310185</v>
      </c>
      <c r="E3" s="203" t="s">
        <v>295</v>
      </c>
      <c r="F3" s="204" t="s">
        <v>220</v>
      </c>
      <c r="G3" s="204">
        <v>1512</v>
      </c>
      <c r="H3" s="203" t="s">
        <v>261</v>
      </c>
      <c r="I3" s="204" t="s">
        <v>296</v>
      </c>
      <c r="J3" s="204" t="s">
        <v>297</v>
      </c>
      <c r="K3" s="204" t="s">
        <v>40</v>
      </c>
      <c r="L3" s="204" t="str">
        <f>VLOOKUP(K:K,供应商清单!$A:$B,2,0)</f>
        <v>镒沣</v>
      </c>
      <c r="M3" s="204" t="s">
        <v>298</v>
      </c>
      <c r="N3" s="204">
        <v>10001161297282</v>
      </c>
      <c r="O3" s="204">
        <v>71000121052699</v>
      </c>
      <c r="P3" s="206"/>
    </row>
    <row r="4" ht="14.25" spans="1:16">
      <c r="A4" s="200">
        <v>37</v>
      </c>
      <c r="B4" s="201" t="s">
        <v>174</v>
      </c>
      <c r="C4" s="202">
        <v>44378.4009722222</v>
      </c>
      <c r="D4" s="202">
        <v>44378.4013425926</v>
      </c>
      <c r="E4" s="203" t="s">
        <v>299</v>
      </c>
      <c r="F4" s="204" t="s">
        <v>256</v>
      </c>
      <c r="G4" s="204">
        <v>1846</v>
      </c>
      <c r="H4" s="203" t="s">
        <v>261</v>
      </c>
      <c r="I4" s="204" t="s">
        <v>296</v>
      </c>
      <c r="J4" s="204" t="s">
        <v>297</v>
      </c>
      <c r="K4" s="204" t="s">
        <v>40</v>
      </c>
      <c r="L4" s="204" t="str">
        <f>VLOOKUP(K:K,供应商清单!$A:$B,2,0)</f>
        <v>镒沣</v>
      </c>
      <c r="M4" s="204" t="s">
        <v>298</v>
      </c>
      <c r="N4" s="204">
        <v>10001161297280</v>
      </c>
      <c r="O4" s="204">
        <v>71000121061491</v>
      </c>
      <c r="P4" s="206"/>
    </row>
    <row r="5" ht="14.25" spans="1:16">
      <c r="A5" s="200">
        <v>38</v>
      </c>
      <c r="B5" s="201" t="s">
        <v>174</v>
      </c>
      <c r="C5" s="202">
        <v>44378.4009722222</v>
      </c>
      <c r="D5" s="202">
        <v>44378.4013425926</v>
      </c>
      <c r="E5" s="203" t="s">
        <v>299</v>
      </c>
      <c r="F5" s="204" t="s">
        <v>256</v>
      </c>
      <c r="G5" s="204">
        <v>954</v>
      </c>
      <c r="H5" s="203" t="s">
        <v>261</v>
      </c>
      <c r="I5" s="204" t="s">
        <v>296</v>
      </c>
      <c r="J5" s="204" t="s">
        <v>297</v>
      </c>
      <c r="K5" s="204" t="s">
        <v>40</v>
      </c>
      <c r="L5" s="204" t="str">
        <f>VLOOKUP(K:K,供应商清单!$A:$B,2,0)</f>
        <v>镒沣</v>
      </c>
      <c r="M5" s="204" t="s">
        <v>298</v>
      </c>
      <c r="N5" s="204">
        <v>10001161297280</v>
      </c>
      <c r="O5" s="204">
        <v>71000121052699</v>
      </c>
      <c r="P5" s="206"/>
    </row>
    <row r="6" ht="14.25" spans="1:16">
      <c r="A6" s="200">
        <v>39</v>
      </c>
      <c r="B6" s="201" t="s">
        <v>174</v>
      </c>
      <c r="C6" s="202">
        <v>44378.4009722222</v>
      </c>
      <c r="D6" s="202">
        <v>44378.4013541667</v>
      </c>
      <c r="E6" s="203" t="s">
        <v>300</v>
      </c>
      <c r="F6" s="204" t="s">
        <v>220</v>
      </c>
      <c r="G6" s="204">
        <v>1400</v>
      </c>
      <c r="H6" s="203" t="s">
        <v>261</v>
      </c>
      <c r="I6" s="204" t="s">
        <v>296</v>
      </c>
      <c r="J6" s="204" t="s">
        <v>297</v>
      </c>
      <c r="K6" s="204" t="s">
        <v>40</v>
      </c>
      <c r="L6" s="204" t="str">
        <f>VLOOKUP(K:K,供应商清单!$A:$B,2,0)</f>
        <v>镒沣</v>
      </c>
      <c r="M6" s="204" t="s">
        <v>298</v>
      </c>
      <c r="N6" s="204">
        <v>10001161297281</v>
      </c>
      <c r="O6" s="204">
        <v>71000121052679</v>
      </c>
      <c r="P6" s="206"/>
    </row>
    <row r="7" ht="14.25" spans="1:16">
      <c r="A7" s="200">
        <v>659</v>
      </c>
      <c r="B7" s="201" t="s">
        <v>174</v>
      </c>
      <c r="C7" s="202">
        <v>44384.7867708333</v>
      </c>
      <c r="D7" s="202">
        <v>44384.7871875</v>
      </c>
      <c r="E7" s="203" t="s">
        <v>300</v>
      </c>
      <c r="F7" s="204" t="s">
        <v>220</v>
      </c>
      <c r="G7" s="204">
        <v>330</v>
      </c>
      <c r="H7" s="203" t="s">
        <v>261</v>
      </c>
      <c r="I7" s="204" t="s">
        <v>296</v>
      </c>
      <c r="J7" s="204" t="s">
        <v>297</v>
      </c>
      <c r="K7" s="204" t="s">
        <v>40</v>
      </c>
      <c r="L7" s="204" t="str">
        <f>VLOOKUP(K:K,供应商清单!$A:$B,2,0)</f>
        <v>镒沣</v>
      </c>
      <c r="M7" s="204" t="s">
        <v>298</v>
      </c>
      <c r="N7" s="204">
        <v>10001161297987</v>
      </c>
      <c r="O7" s="204">
        <v>71000121052679</v>
      </c>
      <c r="P7" s="206"/>
    </row>
    <row r="8" ht="14.25" spans="1:16">
      <c r="A8" s="200">
        <v>660</v>
      </c>
      <c r="B8" s="201" t="s">
        <v>174</v>
      </c>
      <c r="C8" s="202">
        <v>44384.7867708333</v>
      </c>
      <c r="D8" s="202">
        <v>44384.7871875</v>
      </c>
      <c r="E8" s="203" t="s">
        <v>300</v>
      </c>
      <c r="F8" s="204" t="s">
        <v>220</v>
      </c>
      <c r="G8" s="204">
        <v>5270</v>
      </c>
      <c r="H8" s="203" t="s">
        <v>261</v>
      </c>
      <c r="I8" s="204" t="s">
        <v>296</v>
      </c>
      <c r="J8" s="204" t="s">
        <v>297</v>
      </c>
      <c r="K8" s="204" t="s">
        <v>40</v>
      </c>
      <c r="L8" s="204" t="str">
        <f>VLOOKUP(K:K,供应商清单!$A:$B,2,0)</f>
        <v>镒沣</v>
      </c>
      <c r="M8" s="204" t="s">
        <v>298</v>
      </c>
      <c r="N8" s="204">
        <v>10001161297987</v>
      </c>
      <c r="O8" s="204">
        <v>71000121052580</v>
      </c>
      <c r="P8" s="206"/>
    </row>
    <row r="9" ht="14.25" spans="1:16">
      <c r="A9" s="200">
        <v>661</v>
      </c>
      <c r="B9" s="201" t="s">
        <v>174</v>
      </c>
      <c r="C9" s="202">
        <v>44384.7867708333</v>
      </c>
      <c r="D9" s="202">
        <v>44384.7871875</v>
      </c>
      <c r="E9" s="203" t="s">
        <v>98</v>
      </c>
      <c r="F9" s="204" t="s">
        <v>220</v>
      </c>
      <c r="G9" s="204">
        <v>1042</v>
      </c>
      <c r="H9" s="203" t="s">
        <v>261</v>
      </c>
      <c r="I9" s="204" t="s">
        <v>296</v>
      </c>
      <c r="J9" s="204" t="s">
        <v>297</v>
      </c>
      <c r="K9" s="204" t="s">
        <v>38</v>
      </c>
      <c r="L9" s="204" t="str">
        <f>VLOOKUP(K:K,供应商清单!$A:$B,2,0)</f>
        <v>优云</v>
      </c>
      <c r="M9" s="204" t="s">
        <v>176</v>
      </c>
      <c r="N9" s="204">
        <v>10001161297990</v>
      </c>
      <c r="O9" s="204">
        <v>71000121050637</v>
      </c>
      <c r="P9" s="206"/>
    </row>
    <row r="10" ht="14.25" spans="1:16">
      <c r="A10" s="200">
        <v>662</v>
      </c>
      <c r="B10" s="201" t="s">
        <v>174</v>
      </c>
      <c r="C10" s="202">
        <v>44384.7867708333</v>
      </c>
      <c r="D10" s="202">
        <v>44384.7871875</v>
      </c>
      <c r="E10" s="203" t="s">
        <v>98</v>
      </c>
      <c r="F10" s="204" t="s">
        <v>220</v>
      </c>
      <c r="G10" s="204">
        <v>114</v>
      </c>
      <c r="H10" s="203" t="s">
        <v>261</v>
      </c>
      <c r="I10" s="204" t="s">
        <v>296</v>
      </c>
      <c r="J10" s="204" t="s">
        <v>297</v>
      </c>
      <c r="K10" s="204" t="s">
        <v>38</v>
      </c>
      <c r="L10" s="204" t="str">
        <f>VLOOKUP(K:K,供应商清单!$A:$B,2,0)</f>
        <v>优云</v>
      </c>
      <c r="M10" s="204" t="s">
        <v>176</v>
      </c>
      <c r="N10" s="204">
        <v>10001161298018</v>
      </c>
      <c r="O10" s="204">
        <v>71000121050637</v>
      </c>
      <c r="P10" s="206"/>
    </row>
    <row r="11" ht="14.25" spans="1:16">
      <c r="A11" s="200">
        <v>663</v>
      </c>
      <c r="B11" s="201" t="s">
        <v>174</v>
      </c>
      <c r="C11" s="202">
        <v>44384.7867708333</v>
      </c>
      <c r="D11" s="202">
        <v>44384.7871875</v>
      </c>
      <c r="E11" s="203" t="s">
        <v>301</v>
      </c>
      <c r="F11" s="204" t="s">
        <v>302</v>
      </c>
      <c r="G11" s="204">
        <v>350</v>
      </c>
      <c r="H11" s="203" t="s">
        <v>261</v>
      </c>
      <c r="I11" s="204" t="s">
        <v>296</v>
      </c>
      <c r="J11" s="204" t="s">
        <v>297</v>
      </c>
      <c r="K11" s="204" t="s">
        <v>38</v>
      </c>
      <c r="L11" s="204" t="str">
        <f>VLOOKUP(K:K,供应商清单!$A:$B,2,0)</f>
        <v>优云</v>
      </c>
      <c r="M11" s="204" t="s">
        <v>303</v>
      </c>
      <c r="N11" s="204">
        <v>10001161298019</v>
      </c>
      <c r="O11" s="204">
        <v>71000121060495</v>
      </c>
      <c r="P11" s="206"/>
    </row>
    <row r="12" ht="14.25" spans="1:16">
      <c r="A12" s="200">
        <v>664</v>
      </c>
      <c r="B12" s="201" t="s">
        <v>174</v>
      </c>
      <c r="C12" s="202">
        <v>44384.7867708333</v>
      </c>
      <c r="D12" s="202">
        <v>44384.7871875</v>
      </c>
      <c r="E12" s="203" t="s">
        <v>301</v>
      </c>
      <c r="F12" s="204" t="s">
        <v>302</v>
      </c>
      <c r="G12" s="204">
        <v>8000</v>
      </c>
      <c r="H12" s="203" t="s">
        <v>261</v>
      </c>
      <c r="I12" s="204" t="s">
        <v>296</v>
      </c>
      <c r="J12" s="204" t="s">
        <v>297</v>
      </c>
      <c r="K12" s="204" t="s">
        <v>38</v>
      </c>
      <c r="L12" s="204" t="str">
        <f>VLOOKUP(K:K,供应商清单!$A:$B,2,0)</f>
        <v>优云</v>
      </c>
      <c r="M12" s="204" t="s">
        <v>303</v>
      </c>
      <c r="N12" s="204">
        <v>10001161298019</v>
      </c>
      <c r="O12" s="204">
        <v>71000121070141</v>
      </c>
      <c r="P12" s="206"/>
    </row>
    <row r="13" ht="14.25" spans="1:16">
      <c r="A13" s="200">
        <v>665</v>
      </c>
      <c r="B13" s="201" t="s">
        <v>174</v>
      </c>
      <c r="C13" s="202">
        <v>44384.7867708333</v>
      </c>
      <c r="D13" s="202">
        <v>44384.7871990741</v>
      </c>
      <c r="E13" s="203" t="s">
        <v>301</v>
      </c>
      <c r="F13" s="204" t="s">
        <v>302</v>
      </c>
      <c r="G13" s="204">
        <v>1970</v>
      </c>
      <c r="H13" s="203" t="s">
        <v>261</v>
      </c>
      <c r="I13" s="204" t="s">
        <v>296</v>
      </c>
      <c r="J13" s="204" t="s">
        <v>297</v>
      </c>
      <c r="K13" s="204" t="s">
        <v>38</v>
      </c>
      <c r="L13" s="204" t="str">
        <f>VLOOKUP(K:K,供应商清单!$A:$B,2,0)</f>
        <v>优云</v>
      </c>
      <c r="M13" s="204" t="s">
        <v>303</v>
      </c>
      <c r="N13" s="204">
        <v>10001161298019</v>
      </c>
      <c r="O13" s="204">
        <v>71000121070141</v>
      </c>
      <c r="P13" s="206"/>
    </row>
    <row r="14" ht="14.25" spans="1:16">
      <c r="A14" s="200">
        <v>666</v>
      </c>
      <c r="B14" s="201" t="s">
        <v>174</v>
      </c>
      <c r="C14" s="202">
        <v>44384.7869212963</v>
      </c>
      <c r="D14" s="202">
        <v>44384.7871990741</v>
      </c>
      <c r="E14" s="203" t="s">
        <v>304</v>
      </c>
      <c r="F14" s="204" t="s">
        <v>229</v>
      </c>
      <c r="G14" s="204">
        <v>4610</v>
      </c>
      <c r="H14" s="203" t="s">
        <v>261</v>
      </c>
      <c r="I14" s="204" t="s">
        <v>296</v>
      </c>
      <c r="J14" s="204" t="s">
        <v>297</v>
      </c>
      <c r="K14" s="204" t="s">
        <v>45</v>
      </c>
      <c r="L14" s="204" t="str">
        <f>VLOOKUP(K:K,供应商清单!$A:$B,2,0)</f>
        <v>荣亿</v>
      </c>
      <c r="M14" s="204" t="s">
        <v>298</v>
      </c>
      <c r="N14" s="204">
        <v>10001161298034</v>
      </c>
      <c r="O14" s="204">
        <v>71000121052582</v>
      </c>
      <c r="P14" s="206"/>
    </row>
    <row r="15" ht="14.25" spans="1:16">
      <c r="A15" s="200">
        <v>667</v>
      </c>
      <c r="B15" s="201" t="s">
        <v>174</v>
      </c>
      <c r="C15" s="202">
        <v>44384.7869212963</v>
      </c>
      <c r="D15" s="202">
        <v>44384.7871990741</v>
      </c>
      <c r="E15" s="203" t="s">
        <v>305</v>
      </c>
      <c r="F15" s="204" t="s">
        <v>229</v>
      </c>
      <c r="G15" s="204">
        <v>1200</v>
      </c>
      <c r="H15" s="203" t="s">
        <v>261</v>
      </c>
      <c r="I15" s="204" t="s">
        <v>296</v>
      </c>
      <c r="J15" s="204" t="s">
        <v>297</v>
      </c>
      <c r="K15" s="204" t="s">
        <v>45</v>
      </c>
      <c r="L15" s="204" t="str">
        <f>VLOOKUP(K:K,供应商清单!$A:$B,2,0)</f>
        <v>荣亿</v>
      </c>
      <c r="M15" s="204" t="s">
        <v>298</v>
      </c>
      <c r="N15" s="204">
        <v>10001161298036</v>
      </c>
      <c r="O15" s="204">
        <v>71000121061492</v>
      </c>
      <c r="P15" s="206"/>
    </row>
    <row r="16" ht="14.25" spans="1:16">
      <c r="A16" s="200">
        <v>668</v>
      </c>
      <c r="B16" s="201" t="s">
        <v>174</v>
      </c>
      <c r="C16" s="202">
        <v>44384.7869328704</v>
      </c>
      <c r="D16" s="202">
        <v>44384.7871990741</v>
      </c>
      <c r="E16" s="203" t="s">
        <v>305</v>
      </c>
      <c r="F16" s="204" t="s">
        <v>229</v>
      </c>
      <c r="G16" s="204">
        <v>1372</v>
      </c>
      <c r="H16" s="203" t="s">
        <v>261</v>
      </c>
      <c r="I16" s="204" t="s">
        <v>296</v>
      </c>
      <c r="J16" s="204" t="s">
        <v>297</v>
      </c>
      <c r="K16" s="204" t="s">
        <v>45</v>
      </c>
      <c r="L16" s="204" t="str">
        <f>VLOOKUP(K:K,供应商清单!$A:$B,2,0)</f>
        <v>荣亿</v>
      </c>
      <c r="M16" s="204" t="s">
        <v>298</v>
      </c>
      <c r="N16" s="204">
        <v>10001161298036</v>
      </c>
      <c r="O16" s="204">
        <v>71000121052582</v>
      </c>
      <c r="P16" s="206"/>
    </row>
    <row r="17" ht="14.25" spans="1:16">
      <c r="A17" s="200">
        <v>670</v>
      </c>
      <c r="B17" s="201" t="s">
        <v>174</v>
      </c>
      <c r="C17" s="202">
        <v>44384.7869328704</v>
      </c>
      <c r="D17" s="202">
        <v>44384.7871990741</v>
      </c>
      <c r="E17" s="203" t="s">
        <v>305</v>
      </c>
      <c r="F17" s="204" t="s">
        <v>229</v>
      </c>
      <c r="G17" s="204">
        <v>900</v>
      </c>
      <c r="H17" s="203" t="s">
        <v>261</v>
      </c>
      <c r="I17" s="204" t="s">
        <v>296</v>
      </c>
      <c r="J17" s="204" t="s">
        <v>297</v>
      </c>
      <c r="K17" s="204" t="s">
        <v>45</v>
      </c>
      <c r="L17" s="204" t="str">
        <f>VLOOKUP(K:K,供应商清单!$A:$B,2,0)</f>
        <v>荣亿</v>
      </c>
      <c r="M17" s="204" t="s">
        <v>298</v>
      </c>
      <c r="N17" s="204">
        <v>10001161298056</v>
      </c>
      <c r="O17" s="204">
        <v>71000121070155</v>
      </c>
      <c r="P17" s="206"/>
    </row>
    <row r="18" ht="14.25" spans="1:16">
      <c r="A18" s="200">
        <v>671</v>
      </c>
      <c r="B18" s="201" t="s">
        <v>174</v>
      </c>
      <c r="C18" s="202">
        <v>44384.7869444444</v>
      </c>
      <c r="D18" s="202">
        <v>44384.7871990741</v>
      </c>
      <c r="E18" s="203" t="s">
        <v>305</v>
      </c>
      <c r="F18" s="204" t="s">
        <v>229</v>
      </c>
      <c r="G18" s="204">
        <v>800</v>
      </c>
      <c r="H18" s="203" t="s">
        <v>261</v>
      </c>
      <c r="I18" s="204" t="s">
        <v>296</v>
      </c>
      <c r="J18" s="204" t="s">
        <v>297</v>
      </c>
      <c r="K18" s="204" t="s">
        <v>45</v>
      </c>
      <c r="L18" s="204" t="str">
        <f>VLOOKUP(K:K,供应商清单!$A:$B,2,0)</f>
        <v>荣亿</v>
      </c>
      <c r="M18" s="204" t="s">
        <v>298</v>
      </c>
      <c r="N18" s="204">
        <v>10001161298056</v>
      </c>
      <c r="O18" s="204">
        <v>71000121062090</v>
      </c>
      <c r="P18" s="206"/>
    </row>
    <row r="19" ht="14.25" spans="1:16">
      <c r="A19" s="200">
        <v>672</v>
      </c>
      <c r="B19" s="201" t="s">
        <v>174</v>
      </c>
      <c r="C19" s="202">
        <v>44384.7870023148</v>
      </c>
      <c r="D19" s="202">
        <v>44384.7871990741</v>
      </c>
      <c r="E19" s="203" t="s">
        <v>305</v>
      </c>
      <c r="F19" s="204" t="s">
        <v>229</v>
      </c>
      <c r="G19" s="204">
        <v>3000</v>
      </c>
      <c r="H19" s="203" t="s">
        <v>261</v>
      </c>
      <c r="I19" s="204" t="s">
        <v>296</v>
      </c>
      <c r="J19" s="204" t="s">
        <v>297</v>
      </c>
      <c r="K19" s="204" t="s">
        <v>45</v>
      </c>
      <c r="L19" s="204" t="str">
        <f>VLOOKUP(K:K,供应商清单!$A:$B,2,0)</f>
        <v>荣亿</v>
      </c>
      <c r="M19" s="204" t="s">
        <v>298</v>
      </c>
      <c r="N19" s="204">
        <v>10001161298056</v>
      </c>
      <c r="O19" s="204">
        <v>71000121061492</v>
      </c>
      <c r="P19" s="206"/>
    </row>
    <row r="20" ht="14.25" spans="1:16">
      <c r="A20" s="200">
        <v>725</v>
      </c>
      <c r="B20" s="201" t="s">
        <v>174</v>
      </c>
      <c r="C20" s="202">
        <v>44387.4372800926</v>
      </c>
      <c r="D20" s="202">
        <v>44387.4378125</v>
      </c>
      <c r="E20" s="203" t="s">
        <v>306</v>
      </c>
      <c r="F20" s="204" t="s">
        <v>220</v>
      </c>
      <c r="G20" s="204">
        <v>200</v>
      </c>
      <c r="H20" s="203" t="s">
        <v>261</v>
      </c>
      <c r="I20" s="204" t="s">
        <v>296</v>
      </c>
      <c r="J20" s="204" t="s">
        <v>297</v>
      </c>
      <c r="K20" s="204" t="s">
        <v>40</v>
      </c>
      <c r="L20" s="204" t="str">
        <f>VLOOKUP(K:K,供应商清单!$A:$B,2,0)</f>
        <v>镒沣</v>
      </c>
      <c r="M20" s="204" t="s">
        <v>298</v>
      </c>
      <c r="N20" s="204">
        <v>10001161298413</v>
      </c>
      <c r="O20" s="204">
        <v>71000121061491</v>
      </c>
      <c r="P20" s="206"/>
    </row>
    <row r="21" ht="14.25" spans="1:16">
      <c r="A21" s="200">
        <v>726</v>
      </c>
      <c r="B21" s="201" t="s">
        <v>174</v>
      </c>
      <c r="C21" s="202">
        <v>44387.4372800926</v>
      </c>
      <c r="D21" s="202">
        <v>44387.4378125</v>
      </c>
      <c r="E21" s="203" t="s">
        <v>306</v>
      </c>
      <c r="F21" s="204" t="s">
        <v>220</v>
      </c>
      <c r="G21" s="204">
        <v>400</v>
      </c>
      <c r="H21" s="203" t="s">
        <v>261</v>
      </c>
      <c r="I21" s="204" t="s">
        <v>296</v>
      </c>
      <c r="J21" s="204" t="s">
        <v>297</v>
      </c>
      <c r="K21" s="204" t="s">
        <v>40</v>
      </c>
      <c r="L21" s="204" t="str">
        <f>VLOOKUP(K:K,供应商清单!$A:$B,2,0)</f>
        <v>镒沣</v>
      </c>
      <c r="M21" s="204" t="s">
        <v>298</v>
      </c>
      <c r="N21" s="204">
        <v>10001161298413</v>
      </c>
      <c r="O21" s="204">
        <v>71000121062088</v>
      </c>
      <c r="P21" s="206"/>
    </row>
    <row r="22" ht="14.25" spans="1:16">
      <c r="A22" s="200">
        <v>729</v>
      </c>
      <c r="B22" s="201" t="s">
        <v>174</v>
      </c>
      <c r="C22" s="202">
        <v>44387.4372800926</v>
      </c>
      <c r="D22" s="202">
        <v>44387.4378240741</v>
      </c>
      <c r="E22" s="203" t="s">
        <v>300</v>
      </c>
      <c r="F22" s="204" t="s">
        <v>220</v>
      </c>
      <c r="G22" s="204">
        <v>4570</v>
      </c>
      <c r="H22" s="203" t="s">
        <v>261</v>
      </c>
      <c r="I22" s="204" t="s">
        <v>296</v>
      </c>
      <c r="J22" s="204" t="s">
        <v>297</v>
      </c>
      <c r="K22" s="204" t="s">
        <v>40</v>
      </c>
      <c r="L22" s="204" t="str">
        <f>VLOOKUP(K:K,供应商清单!$A:$B,2,0)</f>
        <v>镒沣</v>
      </c>
      <c r="M22" s="204" t="s">
        <v>298</v>
      </c>
      <c r="N22" s="204">
        <v>10001161298395</v>
      </c>
      <c r="O22" s="204">
        <v>71000121052679</v>
      </c>
      <c r="P22" s="206"/>
    </row>
    <row r="23" ht="14.25" spans="1:16">
      <c r="A23" s="200">
        <v>730</v>
      </c>
      <c r="B23" s="201" t="s">
        <v>174</v>
      </c>
      <c r="C23" s="202">
        <v>44387.4372800926</v>
      </c>
      <c r="D23" s="202">
        <v>44387.4378240741</v>
      </c>
      <c r="E23" s="203" t="s">
        <v>307</v>
      </c>
      <c r="F23" s="204" t="s">
        <v>220</v>
      </c>
      <c r="G23" s="204">
        <v>1000</v>
      </c>
      <c r="H23" s="203" t="s">
        <v>261</v>
      </c>
      <c r="I23" s="204" t="s">
        <v>296</v>
      </c>
      <c r="J23" s="204" t="s">
        <v>297</v>
      </c>
      <c r="K23" s="204" t="s">
        <v>40</v>
      </c>
      <c r="L23" s="204" t="str">
        <f>VLOOKUP(K:K,供应商清单!$A:$B,2,0)</f>
        <v>镒沣</v>
      </c>
      <c r="M23" s="204" t="s">
        <v>298</v>
      </c>
      <c r="N23" s="204">
        <v>10001161298398</v>
      </c>
      <c r="O23" s="204">
        <v>71000121061491</v>
      </c>
      <c r="P23" s="206"/>
    </row>
    <row r="24" ht="14.25" spans="1:16">
      <c r="A24" s="200">
        <v>798</v>
      </c>
      <c r="B24" s="201" t="s">
        <v>174</v>
      </c>
      <c r="C24" s="202">
        <v>44389.7857060185</v>
      </c>
      <c r="D24" s="202">
        <v>44389.7859606482</v>
      </c>
      <c r="E24" s="203" t="s">
        <v>308</v>
      </c>
      <c r="F24" s="204" t="s">
        <v>309</v>
      </c>
      <c r="G24" s="204">
        <v>3072</v>
      </c>
      <c r="H24" s="203" t="s">
        <v>261</v>
      </c>
      <c r="I24" s="204" t="s">
        <v>296</v>
      </c>
      <c r="J24" s="204" t="s">
        <v>297</v>
      </c>
      <c r="K24" s="204" t="s">
        <v>42</v>
      </c>
      <c r="L24" s="204" t="str">
        <f>VLOOKUP(K:K,供应商清单!$A:$B,2,0)</f>
        <v>众博</v>
      </c>
      <c r="M24" s="204" t="s">
        <v>298</v>
      </c>
      <c r="N24" s="204">
        <v>10001161298644</v>
      </c>
      <c r="O24" s="204">
        <v>71000121052689</v>
      </c>
      <c r="P24" s="206"/>
    </row>
    <row r="25" ht="14.25" spans="1:16">
      <c r="A25" s="200">
        <v>799</v>
      </c>
      <c r="B25" s="201" t="s">
        <v>174</v>
      </c>
      <c r="C25" s="202">
        <v>44389.7857060185</v>
      </c>
      <c r="D25" s="202">
        <v>44389.7859606482</v>
      </c>
      <c r="E25" s="203" t="s">
        <v>103</v>
      </c>
      <c r="F25" s="204" t="s">
        <v>220</v>
      </c>
      <c r="G25" s="204">
        <v>4980</v>
      </c>
      <c r="H25" s="203" t="s">
        <v>261</v>
      </c>
      <c r="I25" s="204" t="s">
        <v>296</v>
      </c>
      <c r="J25" s="204" t="s">
        <v>297</v>
      </c>
      <c r="K25" s="204" t="s">
        <v>18</v>
      </c>
      <c r="L25" s="204" t="str">
        <f>VLOOKUP(K:K,供应商清单!$A:$B,2,0)</f>
        <v>中扬</v>
      </c>
      <c r="M25" s="204" t="s">
        <v>176</v>
      </c>
      <c r="N25" s="204">
        <v>10001161298614</v>
      </c>
      <c r="O25" s="204">
        <v>71000121061165</v>
      </c>
      <c r="P25" s="206"/>
    </row>
    <row r="26" ht="14.25" spans="1:16">
      <c r="A26" s="200">
        <v>800</v>
      </c>
      <c r="B26" s="201" t="s">
        <v>174</v>
      </c>
      <c r="C26" s="202">
        <v>44389.7857060185</v>
      </c>
      <c r="D26" s="202">
        <v>44389.7859722222</v>
      </c>
      <c r="E26" s="203" t="s">
        <v>65</v>
      </c>
      <c r="F26" s="204" t="s">
        <v>220</v>
      </c>
      <c r="G26" s="204">
        <v>1800</v>
      </c>
      <c r="H26" s="203" t="s">
        <v>261</v>
      </c>
      <c r="I26" s="204" t="s">
        <v>296</v>
      </c>
      <c r="J26" s="204" t="s">
        <v>297</v>
      </c>
      <c r="K26" s="204" t="s">
        <v>51</v>
      </c>
      <c r="L26" s="204" t="str">
        <f>VLOOKUP(K:K,供应商清单!$A:$B,2,0)</f>
        <v>顶尖</v>
      </c>
      <c r="M26" s="204" t="s">
        <v>176</v>
      </c>
      <c r="N26" s="204">
        <v>10001161298613</v>
      </c>
      <c r="O26" s="204">
        <v>71000121061516</v>
      </c>
      <c r="P26" s="206"/>
    </row>
    <row r="27" ht="14.25" spans="1:16">
      <c r="A27" s="200">
        <v>801</v>
      </c>
      <c r="B27" s="201" t="s">
        <v>174</v>
      </c>
      <c r="C27" s="202">
        <v>44389.7857060185</v>
      </c>
      <c r="D27" s="202">
        <v>44389.7859722222</v>
      </c>
      <c r="E27" s="203" t="s">
        <v>70</v>
      </c>
      <c r="F27" s="204" t="s">
        <v>220</v>
      </c>
      <c r="G27" s="204">
        <v>1432</v>
      </c>
      <c r="H27" s="203" t="s">
        <v>261</v>
      </c>
      <c r="I27" s="204" t="s">
        <v>296</v>
      </c>
      <c r="J27" s="204" t="s">
        <v>297</v>
      </c>
      <c r="K27" s="204" t="s">
        <v>30</v>
      </c>
      <c r="L27" s="204" t="str">
        <f>VLOOKUP(K:K,供应商清单!$A:$B,2,0)</f>
        <v>翰森</v>
      </c>
      <c r="M27" s="204" t="s">
        <v>176</v>
      </c>
      <c r="N27" s="204">
        <v>10001161298612</v>
      </c>
      <c r="O27" s="204">
        <v>71000121060156</v>
      </c>
      <c r="P27" s="206"/>
    </row>
    <row r="28" ht="14.25" spans="1:16">
      <c r="A28" s="200">
        <v>802</v>
      </c>
      <c r="B28" s="201" t="s">
        <v>174</v>
      </c>
      <c r="C28" s="202">
        <v>44389.7857060185</v>
      </c>
      <c r="D28" s="202">
        <v>44389.7859722222</v>
      </c>
      <c r="E28" s="203" t="s">
        <v>98</v>
      </c>
      <c r="F28" s="204" t="s">
        <v>220</v>
      </c>
      <c r="G28" s="204">
        <v>1674</v>
      </c>
      <c r="H28" s="203" t="s">
        <v>261</v>
      </c>
      <c r="I28" s="204" t="s">
        <v>296</v>
      </c>
      <c r="J28" s="204" t="s">
        <v>297</v>
      </c>
      <c r="K28" s="204" t="s">
        <v>38</v>
      </c>
      <c r="L28" s="204" t="str">
        <f>VLOOKUP(K:K,供应商清单!$A:$B,2,0)</f>
        <v>优云</v>
      </c>
      <c r="M28" s="204" t="s">
        <v>176</v>
      </c>
      <c r="N28" s="204">
        <v>10001161298609</v>
      </c>
      <c r="O28" s="204">
        <v>71000121050637</v>
      </c>
      <c r="P28" s="206"/>
    </row>
    <row r="29" ht="14.25" spans="1:16">
      <c r="A29" s="200">
        <v>804</v>
      </c>
      <c r="B29" s="201" t="s">
        <v>174</v>
      </c>
      <c r="C29" s="202">
        <v>44389.7857060185</v>
      </c>
      <c r="D29" s="202">
        <v>44389.7859722222</v>
      </c>
      <c r="E29" s="203" t="s">
        <v>98</v>
      </c>
      <c r="F29" s="204" t="s">
        <v>220</v>
      </c>
      <c r="G29" s="204">
        <v>1818</v>
      </c>
      <c r="H29" s="203" t="s">
        <v>261</v>
      </c>
      <c r="I29" s="204" t="s">
        <v>296</v>
      </c>
      <c r="J29" s="204" t="s">
        <v>297</v>
      </c>
      <c r="K29" s="204" t="s">
        <v>38</v>
      </c>
      <c r="L29" s="204" t="str">
        <f>VLOOKUP(K:K,供应商清单!$A:$B,2,0)</f>
        <v>优云</v>
      </c>
      <c r="M29" s="204" t="s">
        <v>176</v>
      </c>
      <c r="N29" s="204">
        <v>10001161298589</v>
      </c>
      <c r="O29" s="204">
        <v>71000121050637</v>
      </c>
      <c r="P29" s="206"/>
    </row>
    <row r="30" ht="14.25" spans="1:16">
      <c r="A30" s="200">
        <v>934</v>
      </c>
      <c r="B30" s="201" t="s">
        <v>174</v>
      </c>
      <c r="C30" s="202">
        <v>44392.5982523148</v>
      </c>
      <c r="D30" s="202">
        <v>44392.5989814815</v>
      </c>
      <c r="E30" s="203" t="s">
        <v>310</v>
      </c>
      <c r="F30" s="204" t="s">
        <v>229</v>
      </c>
      <c r="G30" s="204">
        <v>100</v>
      </c>
      <c r="H30" s="203" t="s">
        <v>261</v>
      </c>
      <c r="I30" s="204" t="s">
        <v>296</v>
      </c>
      <c r="J30" s="204" t="s">
        <v>297</v>
      </c>
      <c r="K30" s="204" t="s">
        <v>40</v>
      </c>
      <c r="L30" s="204" t="str">
        <f>VLOOKUP(K:K,供应商清单!$A:$B,2,0)</f>
        <v>镒沣</v>
      </c>
      <c r="M30" s="204" t="s">
        <v>298</v>
      </c>
      <c r="N30" s="204">
        <v>10001161299136</v>
      </c>
      <c r="O30" s="204">
        <v>71000121061491</v>
      </c>
      <c r="P30" s="206"/>
    </row>
    <row r="31" ht="14.25" spans="1:16">
      <c r="A31" s="200">
        <v>935</v>
      </c>
      <c r="B31" s="201" t="s">
        <v>174</v>
      </c>
      <c r="C31" s="202">
        <v>44392.5982523148</v>
      </c>
      <c r="D31" s="202">
        <v>44392.5989814815</v>
      </c>
      <c r="E31" s="203" t="s">
        <v>300</v>
      </c>
      <c r="F31" s="204" t="s">
        <v>220</v>
      </c>
      <c r="G31" s="204">
        <v>2000</v>
      </c>
      <c r="H31" s="203" t="s">
        <v>261</v>
      </c>
      <c r="I31" s="204" t="s">
        <v>296</v>
      </c>
      <c r="J31" s="204" t="s">
        <v>297</v>
      </c>
      <c r="K31" s="204" t="s">
        <v>40</v>
      </c>
      <c r="L31" s="204" t="str">
        <f>VLOOKUP(K:K,供应商清单!$A:$B,2,0)</f>
        <v>镒沣</v>
      </c>
      <c r="M31" s="204" t="s">
        <v>298</v>
      </c>
      <c r="N31" s="204">
        <v>10001161299149</v>
      </c>
      <c r="O31" s="204">
        <v>71000121052679</v>
      </c>
      <c r="P31" s="206"/>
    </row>
    <row r="32" ht="14.25" spans="1:16">
      <c r="A32" s="200">
        <v>936</v>
      </c>
      <c r="B32" s="201" t="s">
        <v>174</v>
      </c>
      <c r="C32" s="202">
        <v>44392.5982523148</v>
      </c>
      <c r="D32" s="202">
        <v>44392.5989930556</v>
      </c>
      <c r="E32" s="203" t="s">
        <v>300</v>
      </c>
      <c r="F32" s="204" t="s">
        <v>220</v>
      </c>
      <c r="G32" s="204">
        <v>1000</v>
      </c>
      <c r="H32" s="203" t="s">
        <v>261</v>
      </c>
      <c r="I32" s="204" t="s">
        <v>296</v>
      </c>
      <c r="J32" s="204" t="s">
        <v>297</v>
      </c>
      <c r="K32" s="204" t="s">
        <v>40</v>
      </c>
      <c r="L32" s="204" t="str">
        <f>VLOOKUP(K:K,供应商清单!$A:$B,2,0)</f>
        <v>镒沣</v>
      </c>
      <c r="M32" s="204" t="s">
        <v>298</v>
      </c>
      <c r="N32" s="204">
        <v>10001161299149</v>
      </c>
      <c r="O32" s="204">
        <v>71000121052679</v>
      </c>
      <c r="P32" s="206"/>
    </row>
    <row r="33" ht="14.25" spans="1:16">
      <c r="A33" s="200">
        <v>937</v>
      </c>
      <c r="B33" s="201" t="s">
        <v>174</v>
      </c>
      <c r="C33" s="202">
        <v>44392.5982638889</v>
      </c>
      <c r="D33" s="202">
        <v>44392.5989930556</v>
      </c>
      <c r="E33" s="203" t="s">
        <v>311</v>
      </c>
      <c r="F33" s="204" t="s">
        <v>229</v>
      </c>
      <c r="G33" s="204">
        <v>6380</v>
      </c>
      <c r="H33" s="203" t="s">
        <v>261</v>
      </c>
      <c r="I33" s="204" t="s">
        <v>296</v>
      </c>
      <c r="J33" s="204" t="s">
        <v>297</v>
      </c>
      <c r="K33" s="204" t="s">
        <v>40</v>
      </c>
      <c r="L33" s="204" t="str">
        <f>VLOOKUP(K:K,供应商清单!$A:$B,2,0)</f>
        <v>镒沣</v>
      </c>
      <c r="M33" s="204" t="s">
        <v>298</v>
      </c>
      <c r="N33" s="204">
        <v>10001161299155</v>
      </c>
      <c r="O33" s="204">
        <v>71000121052699</v>
      </c>
      <c r="P33" s="206"/>
    </row>
    <row r="34" ht="14.25" spans="1:16">
      <c r="A34" s="200">
        <v>938</v>
      </c>
      <c r="B34" s="201" t="s">
        <v>174</v>
      </c>
      <c r="C34" s="202">
        <v>44392.598275463</v>
      </c>
      <c r="D34" s="202">
        <v>44392.5989930556</v>
      </c>
      <c r="E34" s="203" t="s">
        <v>312</v>
      </c>
      <c r="F34" s="204" t="s">
        <v>313</v>
      </c>
      <c r="G34" s="204">
        <v>300</v>
      </c>
      <c r="H34" s="203" t="s">
        <v>261</v>
      </c>
      <c r="I34" s="204" t="s">
        <v>296</v>
      </c>
      <c r="J34" s="204" t="s">
        <v>297</v>
      </c>
      <c r="K34" s="204" t="s">
        <v>40</v>
      </c>
      <c r="L34" s="204" t="str">
        <f>VLOOKUP(K:K,供应商清单!$A:$B,2,0)</f>
        <v>镒沣</v>
      </c>
      <c r="M34" s="204" t="s">
        <v>298</v>
      </c>
      <c r="N34" s="204">
        <v>10001161299160</v>
      </c>
      <c r="O34" s="204">
        <v>71000121051501</v>
      </c>
      <c r="P34" s="206"/>
    </row>
    <row r="35" ht="14.25" spans="1:16">
      <c r="A35" s="200">
        <v>939</v>
      </c>
      <c r="B35" s="201" t="s">
        <v>174</v>
      </c>
      <c r="C35" s="202">
        <v>44392.5983449074</v>
      </c>
      <c r="D35" s="202">
        <v>44392.5989930556</v>
      </c>
      <c r="E35" s="203" t="s">
        <v>92</v>
      </c>
      <c r="F35" s="204" t="s">
        <v>254</v>
      </c>
      <c r="G35" s="204">
        <v>1000</v>
      </c>
      <c r="H35" s="203" t="s">
        <v>261</v>
      </c>
      <c r="I35" s="204" t="s">
        <v>296</v>
      </c>
      <c r="J35" s="204" t="s">
        <v>297</v>
      </c>
      <c r="K35" s="204" t="s">
        <v>23</v>
      </c>
      <c r="L35" s="204" t="str">
        <f>VLOOKUP(K:K,供应商清单!$A:$B,2,0)</f>
        <v>天沃</v>
      </c>
      <c r="M35" s="204" t="s">
        <v>176</v>
      </c>
      <c r="N35" s="204">
        <v>10001161299122</v>
      </c>
      <c r="O35" s="204">
        <v>71000121062320</v>
      </c>
      <c r="P35" s="206"/>
    </row>
    <row r="36" ht="14.25" spans="1:16">
      <c r="A36" s="200">
        <v>940</v>
      </c>
      <c r="B36" s="201" t="s">
        <v>174</v>
      </c>
      <c r="C36" s="202">
        <v>44392.5983333333</v>
      </c>
      <c r="D36" s="202">
        <v>44392.5989930556</v>
      </c>
      <c r="E36" s="203" t="s">
        <v>312</v>
      </c>
      <c r="F36" s="204" t="s">
        <v>313</v>
      </c>
      <c r="G36" s="204">
        <v>700</v>
      </c>
      <c r="H36" s="203" t="s">
        <v>261</v>
      </c>
      <c r="I36" s="204" t="s">
        <v>296</v>
      </c>
      <c r="J36" s="204" t="s">
        <v>297</v>
      </c>
      <c r="K36" s="204" t="s">
        <v>40</v>
      </c>
      <c r="L36" s="204" t="str">
        <f>VLOOKUP(K:K,供应商清单!$A:$B,2,0)</f>
        <v>镒沣</v>
      </c>
      <c r="M36" s="204" t="s">
        <v>298</v>
      </c>
      <c r="N36" s="204">
        <v>10001161299160</v>
      </c>
      <c r="O36" s="204">
        <v>71000121050588</v>
      </c>
      <c r="P36" s="206"/>
    </row>
    <row r="37" ht="14.25" spans="1:16">
      <c r="A37" s="200">
        <v>1376</v>
      </c>
      <c r="B37" s="201" t="s">
        <v>174</v>
      </c>
      <c r="C37" s="202">
        <v>44391.3669212963</v>
      </c>
      <c r="D37" s="202">
        <v>44391.367337963</v>
      </c>
      <c r="E37" s="203" t="s">
        <v>314</v>
      </c>
      <c r="F37" s="204" t="s">
        <v>315</v>
      </c>
      <c r="G37" s="204">
        <v>556</v>
      </c>
      <c r="H37" s="203" t="s">
        <v>261</v>
      </c>
      <c r="I37" s="204" t="s">
        <v>296</v>
      </c>
      <c r="J37" s="204" t="s">
        <v>297</v>
      </c>
      <c r="K37" s="204" t="s">
        <v>42</v>
      </c>
      <c r="L37" s="204" t="str">
        <f>VLOOKUP(K:K,供应商清单!$A:$B,2,0)</f>
        <v>众博</v>
      </c>
      <c r="M37" s="204" t="s">
        <v>298</v>
      </c>
      <c r="N37" s="204">
        <v>10001161298814</v>
      </c>
      <c r="O37" s="204">
        <v>71000121051340</v>
      </c>
      <c r="P37" s="206"/>
    </row>
    <row r="38" ht="14.25" spans="1:16">
      <c r="A38" s="200">
        <v>1377</v>
      </c>
      <c r="B38" s="201" t="s">
        <v>174</v>
      </c>
      <c r="C38" s="202">
        <v>44391.3669212963</v>
      </c>
      <c r="D38" s="202">
        <v>44391.367337963</v>
      </c>
      <c r="E38" s="203" t="s">
        <v>314</v>
      </c>
      <c r="F38" s="204" t="s">
        <v>315</v>
      </c>
      <c r="G38" s="204">
        <v>13</v>
      </c>
      <c r="H38" s="203" t="s">
        <v>261</v>
      </c>
      <c r="I38" s="204" t="s">
        <v>296</v>
      </c>
      <c r="J38" s="204" t="s">
        <v>297</v>
      </c>
      <c r="K38" s="204" t="s">
        <v>42</v>
      </c>
      <c r="L38" s="204" t="str">
        <f>VLOOKUP(K:K,供应商清单!$A:$B,2,0)</f>
        <v>众博</v>
      </c>
      <c r="M38" s="204" t="s">
        <v>298</v>
      </c>
      <c r="N38" s="204">
        <v>10001161298814</v>
      </c>
      <c r="O38" s="204">
        <v>71000121051340</v>
      </c>
      <c r="P38" s="206"/>
    </row>
    <row r="39" ht="14.25" spans="1:16">
      <c r="A39" s="200">
        <v>1378</v>
      </c>
      <c r="B39" s="201" t="s">
        <v>174</v>
      </c>
      <c r="C39" s="202">
        <v>44391.3669328704</v>
      </c>
      <c r="D39" s="202">
        <v>44391.367337963</v>
      </c>
      <c r="E39" s="203" t="s">
        <v>314</v>
      </c>
      <c r="F39" s="204" t="s">
        <v>315</v>
      </c>
      <c r="G39" s="204">
        <v>72</v>
      </c>
      <c r="H39" s="203" t="s">
        <v>261</v>
      </c>
      <c r="I39" s="204" t="s">
        <v>296</v>
      </c>
      <c r="J39" s="204" t="s">
        <v>297</v>
      </c>
      <c r="K39" s="204" t="s">
        <v>42</v>
      </c>
      <c r="L39" s="204" t="str">
        <f>VLOOKUP(K:K,供应商清单!$A:$B,2,0)</f>
        <v>众博</v>
      </c>
      <c r="M39" s="204" t="s">
        <v>298</v>
      </c>
      <c r="N39" s="204">
        <v>10001161298814</v>
      </c>
      <c r="O39" s="204">
        <v>71000121051340</v>
      </c>
      <c r="P39" s="206"/>
    </row>
    <row r="40" ht="14.25" spans="1:16">
      <c r="A40" s="200">
        <v>1379</v>
      </c>
      <c r="B40" s="201" t="s">
        <v>174</v>
      </c>
      <c r="C40" s="202">
        <v>44391.3669328704</v>
      </c>
      <c r="D40" s="202">
        <v>44391.367337963</v>
      </c>
      <c r="E40" s="203" t="s">
        <v>314</v>
      </c>
      <c r="F40" s="204" t="s">
        <v>315</v>
      </c>
      <c r="G40" s="204">
        <v>134</v>
      </c>
      <c r="H40" s="203" t="s">
        <v>261</v>
      </c>
      <c r="I40" s="204" t="s">
        <v>296</v>
      </c>
      <c r="J40" s="204" t="s">
        <v>297</v>
      </c>
      <c r="K40" s="204" t="s">
        <v>42</v>
      </c>
      <c r="L40" s="204" t="str">
        <f>VLOOKUP(K:K,供应商清单!$A:$B,2,0)</f>
        <v>众博</v>
      </c>
      <c r="M40" s="204" t="s">
        <v>298</v>
      </c>
      <c r="N40" s="204">
        <v>10001161298814</v>
      </c>
      <c r="O40" s="204">
        <v>71000121051340</v>
      </c>
      <c r="P40" s="206"/>
    </row>
    <row r="41" ht="14.25" spans="1:16">
      <c r="A41" s="200">
        <v>1380</v>
      </c>
      <c r="B41" s="201" t="s">
        <v>174</v>
      </c>
      <c r="C41" s="202">
        <v>44391.3669328704</v>
      </c>
      <c r="D41" s="202">
        <v>44391.367337963</v>
      </c>
      <c r="E41" s="203" t="s">
        <v>316</v>
      </c>
      <c r="F41" s="204" t="s">
        <v>283</v>
      </c>
      <c r="G41" s="204">
        <v>1280</v>
      </c>
      <c r="H41" s="203" t="s">
        <v>261</v>
      </c>
      <c r="I41" s="204" t="s">
        <v>296</v>
      </c>
      <c r="J41" s="204" t="s">
        <v>297</v>
      </c>
      <c r="K41" s="204" t="s">
        <v>42</v>
      </c>
      <c r="L41" s="204" t="str">
        <f>VLOOKUP(K:K,供应商清单!$A:$B,2,0)</f>
        <v>众博</v>
      </c>
      <c r="M41" s="204" t="s">
        <v>298</v>
      </c>
      <c r="N41" s="204">
        <v>10001161298813</v>
      </c>
      <c r="O41" s="204">
        <v>71000121070163</v>
      </c>
      <c r="P41" s="206"/>
    </row>
    <row r="42" ht="14.25" spans="1:16">
      <c r="A42" s="200">
        <v>1381</v>
      </c>
      <c r="B42" s="201" t="s">
        <v>174</v>
      </c>
      <c r="C42" s="202">
        <v>44391.3669328704</v>
      </c>
      <c r="D42" s="202">
        <v>44391.367349537</v>
      </c>
      <c r="E42" s="203" t="s">
        <v>308</v>
      </c>
      <c r="F42" s="204" t="s">
        <v>309</v>
      </c>
      <c r="G42" s="204">
        <v>3072</v>
      </c>
      <c r="H42" s="203" t="s">
        <v>261</v>
      </c>
      <c r="I42" s="204" t="s">
        <v>296</v>
      </c>
      <c r="J42" s="204" t="s">
        <v>297</v>
      </c>
      <c r="K42" s="204" t="s">
        <v>42</v>
      </c>
      <c r="L42" s="204" t="str">
        <f>VLOOKUP(K:K,供应商清单!$A:$B,2,0)</f>
        <v>众博</v>
      </c>
      <c r="M42" s="204" t="s">
        <v>298</v>
      </c>
      <c r="N42" s="204">
        <v>10001161298812</v>
      </c>
      <c r="O42" s="204">
        <v>71000121051508</v>
      </c>
      <c r="P42" s="206"/>
    </row>
    <row r="43" ht="14.25" spans="1:16">
      <c r="A43" s="200">
        <v>1382</v>
      </c>
      <c r="B43" s="201" t="s">
        <v>174</v>
      </c>
      <c r="C43" s="202">
        <v>44391.3669328704</v>
      </c>
      <c r="D43" s="202">
        <v>44391.367349537</v>
      </c>
      <c r="E43" s="203" t="s">
        <v>314</v>
      </c>
      <c r="F43" s="204" t="s">
        <v>315</v>
      </c>
      <c r="G43" s="204">
        <v>556</v>
      </c>
      <c r="H43" s="203" t="s">
        <v>261</v>
      </c>
      <c r="I43" s="204" t="s">
        <v>296</v>
      </c>
      <c r="J43" s="204" t="s">
        <v>297</v>
      </c>
      <c r="K43" s="204" t="s">
        <v>42</v>
      </c>
      <c r="L43" s="204" t="str">
        <f>VLOOKUP(K:K,供应商清单!$A:$B,2,0)</f>
        <v>众博</v>
      </c>
      <c r="M43" s="204" t="s">
        <v>298</v>
      </c>
      <c r="N43" s="204">
        <v>10001161298814</v>
      </c>
      <c r="O43" s="204">
        <v>71000121051340</v>
      </c>
      <c r="P43" s="206"/>
    </row>
    <row r="44" ht="14.25" spans="1:16">
      <c r="A44" s="200">
        <v>1383</v>
      </c>
      <c r="B44" s="201" t="s">
        <v>174</v>
      </c>
      <c r="C44" s="202">
        <v>44391.3671296296</v>
      </c>
      <c r="D44" s="202">
        <v>44391.367349537</v>
      </c>
      <c r="E44" s="203" t="s">
        <v>314</v>
      </c>
      <c r="F44" s="204" t="s">
        <v>315</v>
      </c>
      <c r="G44" s="204">
        <v>629</v>
      </c>
      <c r="H44" s="203" t="s">
        <v>261</v>
      </c>
      <c r="I44" s="204" t="s">
        <v>296</v>
      </c>
      <c r="J44" s="204" t="s">
        <v>297</v>
      </c>
      <c r="K44" s="204" t="s">
        <v>42</v>
      </c>
      <c r="L44" s="204" t="str">
        <f>VLOOKUP(K:K,供应商清单!$A:$B,2,0)</f>
        <v>众博</v>
      </c>
      <c r="M44" s="204" t="s">
        <v>298</v>
      </c>
      <c r="N44" s="204">
        <v>10001161298814</v>
      </c>
      <c r="O44" s="204">
        <v>71000121051340</v>
      </c>
      <c r="P44" s="206"/>
    </row>
    <row r="45" ht="14.25" spans="1:16">
      <c r="A45" s="200">
        <v>1384</v>
      </c>
      <c r="B45" s="201" t="s">
        <v>174</v>
      </c>
      <c r="C45" s="202">
        <v>44391.3671296296</v>
      </c>
      <c r="D45" s="202">
        <v>44391.367349537</v>
      </c>
      <c r="E45" s="203" t="s">
        <v>317</v>
      </c>
      <c r="F45" s="204" t="s">
        <v>318</v>
      </c>
      <c r="G45" s="204">
        <v>666</v>
      </c>
      <c r="H45" s="203" t="s">
        <v>261</v>
      </c>
      <c r="I45" s="204" t="s">
        <v>296</v>
      </c>
      <c r="J45" s="204" t="s">
        <v>297</v>
      </c>
      <c r="K45" s="204" t="s">
        <v>42</v>
      </c>
      <c r="L45" s="204" t="str">
        <f>VLOOKUP(K:K,供应商清单!$A:$B,2,0)</f>
        <v>众博</v>
      </c>
      <c r="M45" s="204" t="s">
        <v>298</v>
      </c>
      <c r="N45" s="204">
        <v>10001161298815</v>
      </c>
      <c r="O45" s="204">
        <v>71000121060024</v>
      </c>
      <c r="P45" s="206"/>
    </row>
    <row r="46" ht="14.25" spans="1:16">
      <c r="A46" s="200">
        <v>1385</v>
      </c>
      <c r="B46" s="201" t="s">
        <v>174</v>
      </c>
      <c r="C46" s="202">
        <v>44391.3671296296</v>
      </c>
      <c r="D46" s="202">
        <v>44391.367349537</v>
      </c>
      <c r="E46" s="203" t="s">
        <v>317</v>
      </c>
      <c r="F46" s="204" t="s">
        <v>318</v>
      </c>
      <c r="G46" s="204">
        <v>367</v>
      </c>
      <c r="H46" s="203" t="s">
        <v>261</v>
      </c>
      <c r="I46" s="204" t="s">
        <v>296</v>
      </c>
      <c r="J46" s="204" t="s">
        <v>297</v>
      </c>
      <c r="K46" s="204" t="s">
        <v>42</v>
      </c>
      <c r="L46" s="204" t="str">
        <f>VLOOKUP(K:K,供应商清单!$A:$B,2,0)</f>
        <v>众博</v>
      </c>
      <c r="M46" s="204" t="s">
        <v>298</v>
      </c>
      <c r="N46" s="204">
        <v>10001161298815</v>
      </c>
      <c r="O46" s="204">
        <v>71000121052607</v>
      </c>
      <c r="P46" s="206"/>
    </row>
    <row r="47" ht="14.25" spans="1:16">
      <c r="A47" s="200">
        <v>1386</v>
      </c>
      <c r="B47" s="201" t="s">
        <v>174</v>
      </c>
      <c r="C47" s="202">
        <v>44391.3671296296</v>
      </c>
      <c r="D47" s="202">
        <v>44391.367349537</v>
      </c>
      <c r="E47" s="203" t="s">
        <v>317</v>
      </c>
      <c r="F47" s="204" t="s">
        <v>318</v>
      </c>
      <c r="G47" s="204">
        <v>567</v>
      </c>
      <c r="H47" s="203" t="s">
        <v>261</v>
      </c>
      <c r="I47" s="204" t="s">
        <v>296</v>
      </c>
      <c r="J47" s="204" t="s">
        <v>297</v>
      </c>
      <c r="K47" s="204" t="s">
        <v>42</v>
      </c>
      <c r="L47" s="204" t="str">
        <f>VLOOKUP(K:K,供应商清单!$A:$B,2,0)</f>
        <v>众博</v>
      </c>
      <c r="M47" s="204" t="s">
        <v>298</v>
      </c>
      <c r="N47" s="204">
        <v>10001161298815</v>
      </c>
      <c r="O47" s="204">
        <v>71000121052607</v>
      </c>
      <c r="P47" s="206"/>
    </row>
    <row r="48" ht="14.25" spans="1:16">
      <c r="A48" s="200">
        <v>1387</v>
      </c>
      <c r="B48" s="201" t="s">
        <v>174</v>
      </c>
      <c r="C48" s="202">
        <v>44391.3671412037</v>
      </c>
      <c r="D48" s="202">
        <v>44391.3673611111</v>
      </c>
      <c r="E48" s="203" t="s">
        <v>98</v>
      </c>
      <c r="F48" s="204" t="s">
        <v>220</v>
      </c>
      <c r="G48" s="204">
        <v>1568</v>
      </c>
      <c r="H48" s="203" t="s">
        <v>261</v>
      </c>
      <c r="I48" s="204" t="s">
        <v>296</v>
      </c>
      <c r="J48" s="204" t="s">
        <v>297</v>
      </c>
      <c r="K48" s="204" t="s">
        <v>38</v>
      </c>
      <c r="L48" s="204" t="str">
        <f>VLOOKUP(K:K,供应商清单!$A:$B,2,0)</f>
        <v>优云</v>
      </c>
      <c r="M48" s="204" t="s">
        <v>176</v>
      </c>
      <c r="N48" s="204">
        <v>10001161298833</v>
      </c>
      <c r="O48" s="204">
        <v>71000121050637</v>
      </c>
      <c r="P48" s="206"/>
    </row>
    <row r="49" ht="14.25" spans="1:16">
      <c r="A49" s="200">
        <v>1388</v>
      </c>
      <c r="B49" s="201" t="s">
        <v>174</v>
      </c>
      <c r="C49" s="202">
        <v>44391.3671412037</v>
      </c>
      <c r="D49" s="202">
        <v>44391.3673611111</v>
      </c>
      <c r="E49" s="203" t="s">
        <v>98</v>
      </c>
      <c r="F49" s="204" t="s">
        <v>220</v>
      </c>
      <c r="G49" s="204">
        <v>1424</v>
      </c>
      <c r="H49" s="203" t="s">
        <v>261</v>
      </c>
      <c r="I49" s="204" t="s">
        <v>296</v>
      </c>
      <c r="J49" s="204" t="s">
        <v>297</v>
      </c>
      <c r="K49" s="204" t="s">
        <v>38</v>
      </c>
      <c r="L49" s="204" t="str">
        <f>VLOOKUP(K:K,供应商清单!$A:$B,2,0)</f>
        <v>优云</v>
      </c>
      <c r="M49" s="204" t="s">
        <v>176</v>
      </c>
      <c r="N49" s="204">
        <v>10001161298834</v>
      </c>
      <c r="O49" s="204">
        <v>71000121050637</v>
      </c>
      <c r="P49" s="206"/>
    </row>
    <row r="50" ht="14.25" spans="1:16">
      <c r="A50" s="200">
        <v>1389</v>
      </c>
      <c r="B50" s="201" t="s">
        <v>174</v>
      </c>
      <c r="C50" s="202">
        <v>44391.3672222222</v>
      </c>
      <c r="D50" s="202">
        <v>44391.3673611111</v>
      </c>
      <c r="E50" s="203" t="s">
        <v>319</v>
      </c>
      <c r="F50" s="204" t="s">
        <v>320</v>
      </c>
      <c r="G50" s="204">
        <v>300</v>
      </c>
      <c r="H50" s="203" t="s">
        <v>261</v>
      </c>
      <c r="I50" s="204" t="s">
        <v>296</v>
      </c>
      <c r="J50" s="204" t="s">
        <v>297</v>
      </c>
      <c r="K50" s="204" t="s">
        <v>45</v>
      </c>
      <c r="L50" s="204" t="str">
        <f>VLOOKUP(K:K,供应商清单!$A:$B,2,0)</f>
        <v>荣亿</v>
      </c>
      <c r="M50" s="204" t="s">
        <v>298</v>
      </c>
      <c r="N50" s="204">
        <v>10001161298835</v>
      </c>
      <c r="O50" s="204">
        <v>71000121070155</v>
      </c>
      <c r="P50" s="206"/>
    </row>
    <row r="51" ht="14.25" spans="1:16">
      <c r="A51" s="200">
        <v>1390</v>
      </c>
      <c r="B51" s="201" t="s">
        <v>174</v>
      </c>
      <c r="C51" s="202">
        <v>44391.3672222222</v>
      </c>
      <c r="D51" s="202">
        <v>44391.3673611111</v>
      </c>
      <c r="E51" s="203" t="s">
        <v>304</v>
      </c>
      <c r="F51" s="204" t="s">
        <v>229</v>
      </c>
      <c r="G51" s="204">
        <v>864</v>
      </c>
      <c r="H51" s="203" t="s">
        <v>261</v>
      </c>
      <c r="I51" s="204" t="s">
        <v>296</v>
      </c>
      <c r="J51" s="204" t="s">
        <v>297</v>
      </c>
      <c r="K51" s="204" t="s">
        <v>45</v>
      </c>
      <c r="L51" s="204" t="str">
        <f>VLOOKUP(K:K,供应商清单!$A:$B,2,0)</f>
        <v>荣亿</v>
      </c>
      <c r="M51" s="204" t="s">
        <v>298</v>
      </c>
      <c r="N51" s="204">
        <v>10001161298837</v>
      </c>
      <c r="O51" s="204">
        <v>71000121070155</v>
      </c>
      <c r="P51" s="206"/>
    </row>
    <row r="52" ht="14.25" spans="1:16">
      <c r="A52" s="200">
        <v>1391</v>
      </c>
      <c r="B52" s="201" t="s">
        <v>174</v>
      </c>
      <c r="C52" s="202">
        <v>44391.3672222222</v>
      </c>
      <c r="D52" s="202">
        <v>44391.3673611111</v>
      </c>
      <c r="E52" s="203" t="s">
        <v>304</v>
      </c>
      <c r="F52" s="204" t="s">
        <v>229</v>
      </c>
      <c r="G52" s="204">
        <v>3346</v>
      </c>
      <c r="H52" s="203" t="s">
        <v>261</v>
      </c>
      <c r="I52" s="204" t="s">
        <v>296</v>
      </c>
      <c r="J52" s="204" t="s">
        <v>297</v>
      </c>
      <c r="K52" s="204" t="s">
        <v>45</v>
      </c>
      <c r="L52" s="204" t="str">
        <f>VLOOKUP(K:K,供应商清单!$A:$B,2,0)</f>
        <v>荣亿</v>
      </c>
      <c r="M52" s="204" t="s">
        <v>298</v>
      </c>
      <c r="N52" s="204">
        <v>10001161298837</v>
      </c>
      <c r="O52" s="204">
        <v>71000121052582</v>
      </c>
      <c r="P52" s="206"/>
    </row>
    <row r="53" ht="14.25" spans="1:16">
      <c r="A53" s="200">
        <v>1399</v>
      </c>
      <c r="B53" s="201" t="s">
        <v>174</v>
      </c>
      <c r="C53" s="202">
        <v>44392.5983449074</v>
      </c>
      <c r="D53" s="202">
        <v>44392.5989930556</v>
      </c>
      <c r="E53" s="203" t="s">
        <v>94</v>
      </c>
      <c r="F53" s="204" t="s">
        <v>220</v>
      </c>
      <c r="G53" s="204">
        <v>2160</v>
      </c>
      <c r="H53" s="203" t="s">
        <v>261</v>
      </c>
      <c r="I53" s="204" t="s">
        <v>296</v>
      </c>
      <c r="J53" s="204" t="s">
        <v>297</v>
      </c>
      <c r="K53" s="204" t="s">
        <v>23</v>
      </c>
      <c r="L53" s="204" t="str">
        <f>VLOOKUP(K:K,供应商清单!$A:$B,2,0)</f>
        <v>天沃</v>
      </c>
      <c r="M53" s="204" t="s">
        <v>176</v>
      </c>
      <c r="N53" s="204">
        <v>10001161299121</v>
      </c>
      <c r="O53" s="204">
        <v>71000121052599</v>
      </c>
      <c r="P53" s="206"/>
    </row>
    <row r="54" ht="14.25" spans="1:16">
      <c r="A54" s="200">
        <v>1400</v>
      </c>
      <c r="B54" s="201" t="s">
        <v>174</v>
      </c>
      <c r="C54" s="202">
        <v>44392.5986689815</v>
      </c>
      <c r="D54" s="202">
        <v>44392.5990046296</v>
      </c>
      <c r="E54" s="203" t="s">
        <v>92</v>
      </c>
      <c r="F54" s="204" t="s">
        <v>254</v>
      </c>
      <c r="G54" s="204">
        <v>20</v>
      </c>
      <c r="H54" s="203" t="s">
        <v>261</v>
      </c>
      <c r="I54" s="204" t="s">
        <v>296</v>
      </c>
      <c r="J54" s="204" t="s">
        <v>297</v>
      </c>
      <c r="K54" s="204" t="s">
        <v>23</v>
      </c>
      <c r="L54" s="204" t="str">
        <f>VLOOKUP(K:K,供应商清单!$A:$B,2,0)</f>
        <v>天沃</v>
      </c>
      <c r="M54" s="204" t="s">
        <v>176</v>
      </c>
      <c r="N54" s="204">
        <v>10001161299122</v>
      </c>
      <c r="O54" s="204">
        <v>71000121062320</v>
      </c>
      <c r="P54" s="206"/>
    </row>
    <row r="55" ht="14.25" spans="1:16">
      <c r="A55" s="200">
        <v>1401</v>
      </c>
      <c r="B55" s="201" t="s">
        <v>174</v>
      </c>
      <c r="C55" s="202">
        <v>44392.5986689815</v>
      </c>
      <c r="D55" s="202">
        <v>44392.5990046296</v>
      </c>
      <c r="E55" s="203" t="s">
        <v>73</v>
      </c>
      <c r="F55" s="204" t="s">
        <v>220</v>
      </c>
      <c r="G55" s="204">
        <v>6100</v>
      </c>
      <c r="H55" s="203" t="s">
        <v>261</v>
      </c>
      <c r="I55" s="204" t="s">
        <v>296</v>
      </c>
      <c r="J55" s="204" t="s">
        <v>297</v>
      </c>
      <c r="K55" s="204" t="s">
        <v>28</v>
      </c>
      <c r="L55" s="204" t="str">
        <f>VLOOKUP(K:K,供应商清单!$A:$B,2,0)</f>
        <v>汇航</v>
      </c>
      <c r="M55" s="204" t="s">
        <v>176</v>
      </c>
      <c r="N55" s="204">
        <v>10001161299123</v>
      </c>
      <c r="O55" s="204">
        <v>71000121052603</v>
      </c>
      <c r="P55" s="206"/>
    </row>
    <row r="56" ht="14.25" spans="1:16">
      <c r="A56" s="200">
        <v>1402</v>
      </c>
      <c r="B56" s="201" t="s">
        <v>174</v>
      </c>
      <c r="C56" s="202">
        <v>44392.5986805556</v>
      </c>
      <c r="D56" s="202">
        <v>44392.5990046296</v>
      </c>
      <c r="E56" s="203" t="s">
        <v>69</v>
      </c>
      <c r="F56" s="204" t="s">
        <v>220</v>
      </c>
      <c r="G56" s="204">
        <v>1600</v>
      </c>
      <c r="H56" s="203" t="s">
        <v>261</v>
      </c>
      <c r="I56" s="204" t="s">
        <v>296</v>
      </c>
      <c r="J56" s="204" t="s">
        <v>297</v>
      </c>
      <c r="K56" s="204" t="s">
        <v>53</v>
      </c>
      <c r="L56" s="204" t="str">
        <f>VLOOKUP(K:K,供应商清单!$A:$B,2,0)</f>
        <v>东睿</v>
      </c>
      <c r="M56" s="204" t="s">
        <v>176</v>
      </c>
      <c r="N56" s="204">
        <v>10001161299124</v>
      </c>
      <c r="O56" s="204">
        <v>71000121062076</v>
      </c>
      <c r="P56" s="206"/>
    </row>
    <row r="57" ht="14.25" spans="1:16">
      <c r="A57" s="200">
        <v>1403</v>
      </c>
      <c r="B57" s="201" t="s">
        <v>174</v>
      </c>
      <c r="C57" s="202">
        <v>44392.5986805556</v>
      </c>
      <c r="D57" s="202">
        <v>44392.5990046296</v>
      </c>
      <c r="E57" s="203" t="s">
        <v>64</v>
      </c>
      <c r="F57" s="204" t="s">
        <v>263</v>
      </c>
      <c r="G57" s="204">
        <v>120</v>
      </c>
      <c r="H57" s="203" t="s">
        <v>261</v>
      </c>
      <c r="I57" s="204" t="s">
        <v>296</v>
      </c>
      <c r="J57" s="204" t="s">
        <v>297</v>
      </c>
      <c r="K57" s="204" t="s">
        <v>51</v>
      </c>
      <c r="L57" s="204" t="str">
        <f>VLOOKUP(K:K,供应商清单!$A:$B,2,0)</f>
        <v>顶尖</v>
      </c>
      <c r="M57" s="204" t="s">
        <v>176</v>
      </c>
      <c r="N57" s="204">
        <v>10001161299125</v>
      </c>
      <c r="O57" s="204">
        <v>71000121061516</v>
      </c>
      <c r="P57" s="206"/>
    </row>
    <row r="58" ht="14.25" spans="1:16">
      <c r="A58" s="200">
        <v>1404</v>
      </c>
      <c r="B58" s="201" t="s">
        <v>174</v>
      </c>
      <c r="C58" s="202">
        <v>44392.5986805556</v>
      </c>
      <c r="D58" s="202">
        <v>44392.5990046296</v>
      </c>
      <c r="E58" s="203" t="s">
        <v>64</v>
      </c>
      <c r="F58" s="204" t="s">
        <v>263</v>
      </c>
      <c r="G58" s="204">
        <v>1880</v>
      </c>
      <c r="H58" s="203" t="s">
        <v>261</v>
      </c>
      <c r="I58" s="204" t="s">
        <v>296</v>
      </c>
      <c r="J58" s="204" t="s">
        <v>297</v>
      </c>
      <c r="K58" s="204" t="s">
        <v>51</v>
      </c>
      <c r="L58" s="204" t="str">
        <f>VLOOKUP(K:K,供应商清单!$A:$B,2,0)</f>
        <v>顶尖</v>
      </c>
      <c r="M58" s="204" t="s">
        <v>176</v>
      </c>
      <c r="N58" s="204">
        <v>10001161299126</v>
      </c>
      <c r="O58" s="204">
        <v>71000121061516</v>
      </c>
      <c r="P58" s="206"/>
    </row>
    <row r="59" ht="14.25" spans="1:16">
      <c r="A59" s="200">
        <v>1405</v>
      </c>
      <c r="B59" s="201" t="s">
        <v>174</v>
      </c>
      <c r="C59" s="202">
        <v>44392.5986921296</v>
      </c>
      <c r="D59" s="202">
        <v>44392.5990046296</v>
      </c>
      <c r="E59" s="203" t="s">
        <v>103</v>
      </c>
      <c r="F59" s="204" t="s">
        <v>220</v>
      </c>
      <c r="G59" s="204">
        <v>2700</v>
      </c>
      <c r="H59" s="203" t="s">
        <v>261</v>
      </c>
      <c r="I59" s="204" t="s">
        <v>296</v>
      </c>
      <c r="J59" s="204" t="s">
        <v>297</v>
      </c>
      <c r="K59" s="204" t="s">
        <v>18</v>
      </c>
      <c r="L59" s="204" t="str">
        <f>VLOOKUP(K:K,供应商清单!$A:$B,2,0)</f>
        <v>中扬</v>
      </c>
      <c r="M59" s="204" t="s">
        <v>176</v>
      </c>
      <c r="N59" s="204">
        <v>10001161299127</v>
      </c>
      <c r="O59" s="204">
        <v>71000121061165</v>
      </c>
      <c r="P59" s="206"/>
    </row>
    <row r="60" ht="14.25" spans="1:16">
      <c r="A60" s="200">
        <v>1971</v>
      </c>
      <c r="B60" s="201" t="s">
        <v>174</v>
      </c>
      <c r="C60" s="202">
        <v>44379.701099537</v>
      </c>
      <c r="D60" s="202">
        <v>44379.7013657407</v>
      </c>
      <c r="E60" s="203" t="s">
        <v>317</v>
      </c>
      <c r="F60" s="204" t="s">
        <v>318</v>
      </c>
      <c r="G60" s="204">
        <v>567</v>
      </c>
      <c r="H60" s="203" t="s">
        <v>261</v>
      </c>
      <c r="I60" s="204" t="s">
        <v>296</v>
      </c>
      <c r="J60" s="204" t="s">
        <v>297</v>
      </c>
      <c r="K60" s="204" t="s">
        <v>42</v>
      </c>
      <c r="L60" s="204" t="str">
        <f>VLOOKUP(K:K,供应商清单!$A:$B,2,0)</f>
        <v>众博</v>
      </c>
      <c r="M60" s="204" t="s">
        <v>298</v>
      </c>
      <c r="N60" s="204">
        <v>10001161297458</v>
      </c>
      <c r="O60" s="204">
        <v>71000121052607</v>
      </c>
      <c r="P60" s="206"/>
    </row>
    <row r="61" ht="14.25" spans="1:16">
      <c r="A61" s="200">
        <v>1972</v>
      </c>
      <c r="B61" s="201" t="s">
        <v>174</v>
      </c>
      <c r="C61" s="202">
        <v>44379.701099537</v>
      </c>
      <c r="D61" s="202">
        <v>44379.7013657407</v>
      </c>
      <c r="E61" s="203" t="s">
        <v>317</v>
      </c>
      <c r="F61" s="204" t="s">
        <v>318</v>
      </c>
      <c r="G61" s="204">
        <v>473</v>
      </c>
      <c r="H61" s="203" t="s">
        <v>261</v>
      </c>
      <c r="I61" s="204" t="s">
        <v>296</v>
      </c>
      <c r="J61" s="204" t="s">
        <v>297</v>
      </c>
      <c r="K61" s="204" t="s">
        <v>42</v>
      </c>
      <c r="L61" s="204" t="str">
        <f>VLOOKUP(K:K,供应商清单!$A:$B,2,0)</f>
        <v>众博</v>
      </c>
      <c r="M61" s="204" t="s">
        <v>298</v>
      </c>
      <c r="N61" s="204">
        <v>10001161297458</v>
      </c>
      <c r="O61" s="204">
        <v>71000121052607</v>
      </c>
      <c r="P61" s="206"/>
    </row>
    <row r="62" ht="14.25" spans="1:16">
      <c r="A62" s="200">
        <v>1973</v>
      </c>
      <c r="B62" s="201" t="s">
        <v>174</v>
      </c>
      <c r="C62" s="202">
        <v>44379.7011111111</v>
      </c>
      <c r="D62" s="202">
        <v>44379.7013657407</v>
      </c>
      <c r="E62" s="203" t="s">
        <v>316</v>
      </c>
      <c r="F62" s="204" t="s">
        <v>283</v>
      </c>
      <c r="G62" s="204">
        <v>960</v>
      </c>
      <c r="H62" s="203" t="s">
        <v>261</v>
      </c>
      <c r="I62" s="204" t="s">
        <v>296</v>
      </c>
      <c r="J62" s="204" t="s">
        <v>297</v>
      </c>
      <c r="K62" s="204" t="s">
        <v>42</v>
      </c>
      <c r="L62" s="204" t="str">
        <f>VLOOKUP(K:K,供应商清单!$A:$B,2,0)</f>
        <v>众博</v>
      </c>
      <c r="M62" s="204" t="s">
        <v>298</v>
      </c>
      <c r="N62" s="204">
        <v>10001161297456</v>
      </c>
      <c r="O62" s="204">
        <v>71000121050591</v>
      </c>
      <c r="P62" s="206"/>
    </row>
    <row r="63" ht="14.25" spans="1:16">
      <c r="A63" s="200">
        <v>1974</v>
      </c>
      <c r="B63" s="201" t="s">
        <v>174</v>
      </c>
      <c r="C63" s="202">
        <v>44379.7011111111</v>
      </c>
      <c r="D63" s="202">
        <v>44379.7013657407</v>
      </c>
      <c r="E63" s="203" t="s">
        <v>321</v>
      </c>
      <c r="F63" s="204" t="s">
        <v>318</v>
      </c>
      <c r="G63" s="204">
        <v>720</v>
      </c>
      <c r="H63" s="203" t="s">
        <v>261</v>
      </c>
      <c r="I63" s="204" t="s">
        <v>296</v>
      </c>
      <c r="J63" s="204" t="s">
        <v>297</v>
      </c>
      <c r="K63" s="204" t="s">
        <v>42</v>
      </c>
      <c r="L63" s="204" t="str">
        <f>VLOOKUP(K:K,供应商清单!$A:$B,2,0)</f>
        <v>众博</v>
      </c>
      <c r="M63" s="204" t="s">
        <v>298</v>
      </c>
      <c r="N63" s="204">
        <v>10001161297457</v>
      </c>
      <c r="O63" s="204">
        <v>71000121051930</v>
      </c>
      <c r="P63" s="206"/>
    </row>
    <row r="64" ht="14.25" spans="1:16">
      <c r="A64" s="200">
        <v>1975</v>
      </c>
      <c r="B64" s="201" t="s">
        <v>174</v>
      </c>
      <c r="C64" s="202">
        <v>44379.7011111111</v>
      </c>
      <c r="D64" s="202">
        <v>44379.7013657407</v>
      </c>
      <c r="E64" s="203" t="s">
        <v>308</v>
      </c>
      <c r="F64" s="204" t="s">
        <v>309</v>
      </c>
      <c r="G64" s="204">
        <v>328</v>
      </c>
      <c r="H64" s="203" t="s">
        <v>261</v>
      </c>
      <c r="I64" s="204" t="s">
        <v>296</v>
      </c>
      <c r="J64" s="204" t="s">
        <v>297</v>
      </c>
      <c r="K64" s="204" t="s">
        <v>42</v>
      </c>
      <c r="L64" s="204" t="str">
        <f>VLOOKUP(K:K,供应商清单!$A:$B,2,0)</f>
        <v>众博</v>
      </c>
      <c r="M64" s="204" t="s">
        <v>298</v>
      </c>
      <c r="N64" s="204">
        <v>10001161297455</v>
      </c>
      <c r="O64" s="204">
        <v>71000121050038</v>
      </c>
      <c r="P64" s="206"/>
    </row>
    <row r="65" ht="14.25" spans="1:16">
      <c r="A65" s="200">
        <v>1976</v>
      </c>
      <c r="B65" s="201" t="s">
        <v>174</v>
      </c>
      <c r="C65" s="202">
        <v>44379.7011111111</v>
      </c>
      <c r="D65" s="202">
        <v>44379.7013773148</v>
      </c>
      <c r="E65" s="203" t="s">
        <v>308</v>
      </c>
      <c r="F65" s="204" t="s">
        <v>309</v>
      </c>
      <c r="G65" s="204">
        <v>681</v>
      </c>
      <c r="H65" s="203" t="s">
        <v>261</v>
      </c>
      <c r="I65" s="204" t="s">
        <v>296</v>
      </c>
      <c r="J65" s="204" t="s">
        <v>297</v>
      </c>
      <c r="K65" s="204" t="s">
        <v>42</v>
      </c>
      <c r="L65" s="204" t="str">
        <f>VLOOKUP(K:K,供应商清单!$A:$B,2,0)</f>
        <v>众博</v>
      </c>
      <c r="M65" s="204" t="s">
        <v>298</v>
      </c>
      <c r="N65" s="204">
        <v>10001161297455</v>
      </c>
      <c r="O65" s="204">
        <v>71000121050038</v>
      </c>
      <c r="P65" s="206"/>
    </row>
    <row r="66" ht="14.25" spans="1:16">
      <c r="A66" s="200">
        <v>1977</v>
      </c>
      <c r="B66" s="201" t="s">
        <v>174</v>
      </c>
      <c r="C66" s="202">
        <v>44379.7011111111</v>
      </c>
      <c r="D66" s="202">
        <v>44379.7013773148</v>
      </c>
      <c r="E66" s="203" t="s">
        <v>308</v>
      </c>
      <c r="F66" s="204" t="s">
        <v>309</v>
      </c>
      <c r="G66" s="204">
        <v>3072</v>
      </c>
      <c r="H66" s="203" t="s">
        <v>261</v>
      </c>
      <c r="I66" s="204" t="s">
        <v>296</v>
      </c>
      <c r="J66" s="204" t="s">
        <v>297</v>
      </c>
      <c r="K66" s="204" t="s">
        <v>42</v>
      </c>
      <c r="L66" s="204" t="str">
        <f>VLOOKUP(K:K,供应商清单!$A:$B,2,0)</f>
        <v>众博</v>
      </c>
      <c r="M66" s="204" t="s">
        <v>298</v>
      </c>
      <c r="N66" s="204">
        <v>10001161297455</v>
      </c>
      <c r="O66" s="204">
        <v>71000121052607</v>
      </c>
      <c r="P66" s="206"/>
    </row>
    <row r="67" ht="14.25" spans="1:16">
      <c r="A67" s="200">
        <v>2169</v>
      </c>
      <c r="B67" s="201" t="s">
        <v>174</v>
      </c>
      <c r="C67" s="202">
        <v>44393.3628125</v>
      </c>
      <c r="D67" s="202">
        <v>44393.3635300926</v>
      </c>
      <c r="E67" s="203" t="s">
        <v>308</v>
      </c>
      <c r="F67" s="204" t="s">
        <v>309</v>
      </c>
      <c r="G67" s="204">
        <v>3072</v>
      </c>
      <c r="H67" s="203" t="s">
        <v>261</v>
      </c>
      <c r="I67" s="204" t="s">
        <v>296</v>
      </c>
      <c r="J67" s="204" t="s">
        <v>297</v>
      </c>
      <c r="K67" s="204" t="s">
        <v>42</v>
      </c>
      <c r="L67" s="204" t="str">
        <f>VLOOKUP(K:K,供应商清单!$A:$B,2,0)</f>
        <v>众博</v>
      </c>
      <c r="M67" s="204" t="s">
        <v>298</v>
      </c>
      <c r="N67" s="204">
        <v>10001161299206</v>
      </c>
      <c r="O67" s="204">
        <v>71000121051508</v>
      </c>
      <c r="P67" s="206"/>
    </row>
    <row r="68" ht="14.25" spans="1:16">
      <c r="A68" s="200">
        <v>2170</v>
      </c>
      <c r="B68" s="201" t="s">
        <v>174</v>
      </c>
      <c r="C68" s="202">
        <v>44393.3628125</v>
      </c>
      <c r="D68" s="202">
        <v>44393.3635300926</v>
      </c>
      <c r="E68" s="203" t="s">
        <v>69</v>
      </c>
      <c r="F68" s="204" t="s">
        <v>220</v>
      </c>
      <c r="G68" s="204">
        <v>300</v>
      </c>
      <c r="H68" s="203" t="s">
        <v>261</v>
      </c>
      <c r="I68" s="204" t="s">
        <v>296</v>
      </c>
      <c r="J68" s="204" t="s">
        <v>297</v>
      </c>
      <c r="K68" s="204" t="s">
        <v>53</v>
      </c>
      <c r="L68" s="204" t="str">
        <f>VLOOKUP(K:K,供应商清单!$A:$B,2,0)</f>
        <v>东睿</v>
      </c>
      <c r="M68" s="204" t="s">
        <v>176</v>
      </c>
      <c r="N68" s="204">
        <v>10001161299210</v>
      </c>
      <c r="O68" s="204">
        <v>71000121062076</v>
      </c>
      <c r="P68" s="206"/>
    </row>
    <row r="69" ht="14.25" spans="1:16">
      <c r="A69" s="200">
        <v>2239</v>
      </c>
      <c r="B69" s="201" t="s">
        <v>174</v>
      </c>
      <c r="C69" s="202">
        <v>44379.7017824074</v>
      </c>
      <c r="D69" s="202">
        <v>44379.7018634259</v>
      </c>
      <c r="E69" s="203" t="s">
        <v>73</v>
      </c>
      <c r="F69" s="204" t="s">
        <v>220</v>
      </c>
      <c r="G69" s="204">
        <v>415</v>
      </c>
      <c r="H69" s="203" t="s">
        <v>261</v>
      </c>
      <c r="I69" s="204" t="s">
        <v>296</v>
      </c>
      <c r="J69" s="204" t="s">
        <v>297</v>
      </c>
      <c r="K69" s="204" t="s">
        <v>28</v>
      </c>
      <c r="L69" s="204" t="str">
        <f>VLOOKUP(K:K,供应商清单!$A:$B,2,0)</f>
        <v>汇航</v>
      </c>
      <c r="M69" s="204" t="s">
        <v>176</v>
      </c>
      <c r="N69" s="204">
        <v>10001161297454</v>
      </c>
      <c r="O69" s="204">
        <v>71000121052603</v>
      </c>
      <c r="P69" s="206"/>
    </row>
    <row r="70" ht="14.25" spans="1:16">
      <c r="A70" s="200">
        <v>2301</v>
      </c>
      <c r="B70" s="201" t="s">
        <v>174</v>
      </c>
      <c r="C70" s="202">
        <v>44386.3566550926</v>
      </c>
      <c r="D70" s="202">
        <v>44386.3570138889</v>
      </c>
      <c r="E70" s="203" t="s">
        <v>103</v>
      </c>
      <c r="F70" s="204" t="s">
        <v>220</v>
      </c>
      <c r="G70" s="204">
        <v>2780</v>
      </c>
      <c r="H70" s="203" t="s">
        <v>261</v>
      </c>
      <c r="I70" s="204" t="s">
        <v>296</v>
      </c>
      <c r="J70" s="204" t="s">
        <v>297</v>
      </c>
      <c r="K70" s="204" t="s">
        <v>18</v>
      </c>
      <c r="L70" s="204" t="str">
        <f>VLOOKUP(K:K,供应商清单!$A:$B,2,0)</f>
        <v>中扬</v>
      </c>
      <c r="M70" s="204" t="s">
        <v>176</v>
      </c>
      <c r="N70" s="204">
        <v>10001161298152</v>
      </c>
      <c r="O70" s="204">
        <v>71000121061307</v>
      </c>
      <c r="P70" s="206"/>
    </row>
    <row r="71" ht="14.25" spans="1:16">
      <c r="A71" s="200">
        <v>2302</v>
      </c>
      <c r="B71" s="201" t="s">
        <v>174</v>
      </c>
      <c r="C71" s="202">
        <v>44386.3566550926</v>
      </c>
      <c r="D71" s="202">
        <v>44386.3570138889</v>
      </c>
      <c r="E71" s="203" t="s">
        <v>69</v>
      </c>
      <c r="F71" s="204" t="s">
        <v>220</v>
      </c>
      <c r="G71" s="204">
        <v>1548</v>
      </c>
      <c r="H71" s="203" t="s">
        <v>261</v>
      </c>
      <c r="I71" s="204" t="s">
        <v>296</v>
      </c>
      <c r="J71" s="204" t="s">
        <v>297</v>
      </c>
      <c r="K71" s="204" t="s">
        <v>53</v>
      </c>
      <c r="L71" s="204" t="str">
        <f>VLOOKUP(K:K,供应商清单!$A:$B,2,0)</f>
        <v>东睿</v>
      </c>
      <c r="M71" s="204" t="s">
        <v>176</v>
      </c>
      <c r="N71" s="204">
        <v>10001161298154</v>
      </c>
      <c r="O71" s="204">
        <v>71000121062076</v>
      </c>
      <c r="P71" s="206"/>
    </row>
    <row r="72" ht="14.25" spans="1:16">
      <c r="A72" s="200">
        <v>2303</v>
      </c>
      <c r="B72" s="201" t="s">
        <v>174</v>
      </c>
      <c r="C72" s="202">
        <v>44386.3566550926</v>
      </c>
      <c r="D72" s="202">
        <v>44386.3570138889</v>
      </c>
      <c r="E72" s="203" t="s">
        <v>72</v>
      </c>
      <c r="F72" s="204" t="s">
        <v>220</v>
      </c>
      <c r="G72" s="204">
        <v>500</v>
      </c>
      <c r="H72" s="203" t="s">
        <v>261</v>
      </c>
      <c r="I72" s="204" t="s">
        <v>296</v>
      </c>
      <c r="J72" s="204" t="s">
        <v>297</v>
      </c>
      <c r="K72" s="204" t="s">
        <v>30</v>
      </c>
      <c r="L72" s="204" t="str">
        <f>VLOOKUP(K:K,供应商清单!$A:$B,2,0)</f>
        <v>翰森</v>
      </c>
      <c r="M72" s="204" t="s">
        <v>176</v>
      </c>
      <c r="N72" s="204">
        <v>10001161298155</v>
      </c>
      <c r="O72" s="204">
        <v>71000121070702</v>
      </c>
      <c r="P72" s="206"/>
    </row>
    <row r="73" ht="14.25" spans="1:16">
      <c r="A73" s="200">
        <v>2304</v>
      </c>
      <c r="B73" s="201" t="s">
        <v>174</v>
      </c>
      <c r="C73" s="202">
        <v>44386.3566550926</v>
      </c>
      <c r="D73" s="202">
        <v>44386.3570138889</v>
      </c>
      <c r="E73" s="203" t="s">
        <v>72</v>
      </c>
      <c r="F73" s="204" t="s">
        <v>220</v>
      </c>
      <c r="G73" s="204">
        <v>1370</v>
      </c>
      <c r="H73" s="203" t="s">
        <v>261</v>
      </c>
      <c r="I73" s="204" t="s">
        <v>296</v>
      </c>
      <c r="J73" s="204" t="s">
        <v>297</v>
      </c>
      <c r="K73" s="204" t="s">
        <v>30</v>
      </c>
      <c r="L73" s="204" t="str">
        <f>VLOOKUP(K:K,供应商清单!$A:$B,2,0)</f>
        <v>翰森</v>
      </c>
      <c r="M73" s="204" t="s">
        <v>176</v>
      </c>
      <c r="N73" s="204">
        <v>10001161298155</v>
      </c>
      <c r="O73" s="204">
        <v>71000121061983</v>
      </c>
      <c r="P73" s="206"/>
    </row>
    <row r="74" ht="14.25" spans="1:16">
      <c r="A74" s="200">
        <v>2305</v>
      </c>
      <c r="B74" s="201" t="s">
        <v>174</v>
      </c>
      <c r="C74" s="202">
        <v>44386.3566550926</v>
      </c>
      <c r="D74" s="202">
        <v>44386.3570138889</v>
      </c>
      <c r="E74" s="203" t="s">
        <v>72</v>
      </c>
      <c r="F74" s="204" t="s">
        <v>220</v>
      </c>
      <c r="G74" s="204">
        <v>232</v>
      </c>
      <c r="H74" s="203" t="s">
        <v>261</v>
      </c>
      <c r="I74" s="204" t="s">
        <v>296</v>
      </c>
      <c r="J74" s="204" t="s">
        <v>297</v>
      </c>
      <c r="K74" s="204" t="s">
        <v>30</v>
      </c>
      <c r="L74" s="204" t="str">
        <f>VLOOKUP(K:K,供应商清单!$A:$B,2,0)</f>
        <v>翰森</v>
      </c>
      <c r="M74" s="204" t="s">
        <v>176</v>
      </c>
      <c r="N74" s="204">
        <v>10001161298155</v>
      </c>
      <c r="O74" s="204">
        <v>71000121060019</v>
      </c>
      <c r="P74" s="206"/>
    </row>
    <row r="75" ht="14.25" spans="1:16">
      <c r="A75" s="200">
        <v>2306</v>
      </c>
      <c r="B75" s="201" t="s">
        <v>174</v>
      </c>
      <c r="C75" s="202">
        <v>44386.3566550926</v>
      </c>
      <c r="D75" s="202">
        <v>44386.3570138889</v>
      </c>
      <c r="E75" s="203" t="s">
        <v>308</v>
      </c>
      <c r="F75" s="204" t="s">
        <v>309</v>
      </c>
      <c r="G75" s="204">
        <v>2700</v>
      </c>
      <c r="H75" s="203" t="s">
        <v>261</v>
      </c>
      <c r="I75" s="204" t="s">
        <v>296</v>
      </c>
      <c r="J75" s="204" t="s">
        <v>297</v>
      </c>
      <c r="K75" s="204" t="s">
        <v>42</v>
      </c>
      <c r="L75" s="204" t="str">
        <f>VLOOKUP(K:K,供应商清单!$A:$B,2,0)</f>
        <v>众博</v>
      </c>
      <c r="M75" s="204" t="s">
        <v>298</v>
      </c>
      <c r="N75" s="204">
        <v>10001161298232</v>
      </c>
      <c r="O75" s="204">
        <v>71000121052689</v>
      </c>
      <c r="P75" s="206"/>
    </row>
    <row r="76" ht="14.25" spans="1:16">
      <c r="A76" s="200">
        <v>2307</v>
      </c>
      <c r="B76" s="201" t="s">
        <v>174</v>
      </c>
      <c r="C76" s="202">
        <v>44386.3566550926</v>
      </c>
      <c r="D76" s="202">
        <v>44386.3570138889</v>
      </c>
      <c r="E76" s="203" t="s">
        <v>308</v>
      </c>
      <c r="F76" s="204" t="s">
        <v>309</v>
      </c>
      <c r="G76" s="204">
        <v>372</v>
      </c>
      <c r="H76" s="203" t="s">
        <v>261</v>
      </c>
      <c r="I76" s="204" t="s">
        <v>296</v>
      </c>
      <c r="J76" s="204" t="s">
        <v>297</v>
      </c>
      <c r="K76" s="204" t="s">
        <v>42</v>
      </c>
      <c r="L76" s="204" t="str">
        <f>VLOOKUP(K:K,供应商清单!$A:$B,2,0)</f>
        <v>众博</v>
      </c>
      <c r="M76" s="204" t="s">
        <v>298</v>
      </c>
      <c r="N76" s="204">
        <v>10001161298232</v>
      </c>
      <c r="O76" s="204">
        <v>71000121052689</v>
      </c>
      <c r="P76" s="206"/>
    </row>
    <row r="77" ht="14.25" spans="1:16">
      <c r="A77" s="200">
        <v>2308</v>
      </c>
      <c r="B77" s="201" t="s">
        <v>174</v>
      </c>
      <c r="C77" s="202">
        <v>44386.3567708333</v>
      </c>
      <c r="D77" s="202">
        <v>44386.357025463</v>
      </c>
      <c r="E77" s="203" t="s">
        <v>321</v>
      </c>
      <c r="F77" s="204" t="s">
        <v>318</v>
      </c>
      <c r="G77" s="204">
        <v>628</v>
      </c>
      <c r="H77" s="203" t="s">
        <v>261</v>
      </c>
      <c r="I77" s="204" t="s">
        <v>296</v>
      </c>
      <c r="J77" s="204" t="s">
        <v>297</v>
      </c>
      <c r="K77" s="204" t="s">
        <v>42</v>
      </c>
      <c r="L77" s="204" t="str">
        <f>VLOOKUP(K:K,供应商清单!$A:$B,2,0)</f>
        <v>众博</v>
      </c>
      <c r="M77" s="204" t="s">
        <v>298</v>
      </c>
      <c r="N77" s="204">
        <v>10001161298233</v>
      </c>
      <c r="O77" s="204">
        <v>71000121051930</v>
      </c>
      <c r="P77" s="206"/>
    </row>
    <row r="78" ht="14.25" spans="1:16">
      <c r="A78" s="200">
        <v>2309</v>
      </c>
      <c r="B78" s="201" t="s">
        <v>174</v>
      </c>
      <c r="C78" s="202">
        <v>44386.3567708333</v>
      </c>
      <c r="D78" s="202">
        <v>44386.357025463</v>
      </c>
      <c r="E78" s="203" t="s">
        <v>321</v>
      </c>
      <c r="F78" s="204" t="s">
        <v>318</v>
      </c>
      <c r="G78" s="204">
        <v>256</v>
      </c>
      <c r="H78" s="203" t="s">
        <v>261</v>
      </c>
      <c r="I78" s="204" t="s">
        <v>296</v>
      </c>
      <c r="J78" s="204" t="s">
        <v>297</v>
      </c>
      <c r="K78" s="204" t="s">
        <v>42</v>
      </c>
      <c r="L78" s="204" t="str">
        <f>VLOOKUP(K:K,供应商清单!$A:$B,2,0)</f>
        <v>众博</v>
      </c>
      <c r="M78" s="204" t="s">
        <v>298</v>
      </c>
      <c r="N78" s="204">
        <v>10001161298233</v>
      </c>
      <c r="O78" s="204">
        <v>71000121051930</v>
      </c>
      <c r="P78" s="206"/>
    </row>
    <row r="79" ht="14.25" spans="1:16">
      <c r="A79" s="200">
        <v>2310</v>
      </c>
      <c r="B79" s="201" t="s">
        <v>174</v>
      </c>
      <c r="C79" s="202">
        <v>44386.3567824074</v>
      </c>
      <c r="D79" s="202">
        <v>44386.357025463</v>
      </c>
      <c r="E79" s="203" t="s">
        <v>321</v>
      </c>
      <c r="F79" s="204" t="s">
        <v>318</v>
      </c>
      <c r="G79" s="204">
        <v>556</v>
      </c>
      <c r="H79" s="203" t="s">
        <v>261</v>
      </c>
      <c r="I79" s="204" t="s">
        <v>296</v>
      </c>
      <c r="J79" s="204" t="s">
        <v>297</v>
      </c>
      <c r="K79" s="204" t="s">
        <v>42</v>
      </c>
      <c r="L79" s="204" t="str">
        <f>VLOOKUP(K:K,供应商清单!$A:$B,2,0)</f>
        <v>众博</v>
      </c>
      <c r="M79" s="204" t="s">
        <v>298</v>
      </c>
      <c r="N79" s="204">
        <v>10001161298233</v>
      </c>
      <c r="O79" s="204">
        <v>71000121051930</v>
      </c>
      <c r="P79" s="206"/>
    </row>
    <row r="80" ht="14.25" spans="1:16">
      <c r="A80" s="200">
        <v>2311</v>
      </c>
      <c r="B80" s="201" t="s">
        <v>174</v>
      </c>
      <c r="C80" s="202">
        <v>44386.3567824074</v>
      </c>
      <c r="D80" s="202">
        <v>44386.357025463</v>
      </c>
      <c r="E80" s="203" t="s">
        <v>317</v>
      </c>
      <c r="F80" s="204" t="s">
        <v>318</v>
      </c>
      <c r="G80" s="204">
        <v>667</v>
      </c>
      <c r="H80" s="203" t="s">
        <v>261</v>
      </c>
      <c r="I80" s="204" t="s">
        <v>296</v>
      </c>
      <c r="J80" s="204" t="s">
        <v>297</v>
      </c>
      <c r="K80" s="204" t="s">
        <v>42</v>
      </c>
      <c r="L80" s="204" t="str">
        <f>VLOOKUP(K:K,供应商清单!$A:$B,2,0)</f>
        <v>众博</v>
      </c>
      <c r="M80" s="204" t="s">
        <v>298</v>
      </c>
      <c r="N80" s="204">
        <v>10001161298234</v>
      </c>
      <c r="O80" s="204">
        <v>71000121052607</v>
      </c>
      <c r="P80" s="206"/>
    </row>
    <row r="81" ht="14.25" spans="1:16">
      <c r="A81" s="200">
        <v>2312</v>
      </c>
      <c r="B81" s="201" t="s">
        <v>174</v>
      </c>
      <c r="C81" s="202">
        <v>44386.3567824074</v>
      </c>
      <c r="D81" s="202">
        <v>44386.357025463</v>
      </c>
      <c r="E81" s="203" t="s">
        <v>317</v>
      </c>
      <c r="F81" s="204" t="s">
        <v>318</v>
      </c>
      <c r="G81" s="204">
        <v>26</v>
      </c>
      <c r="H81" s="203" t="s">
        <v>261</v>
      </c>
      <c r="I81" s="204" t="s">
        <v>296</v>
      </c>
      <c r="J81" s="204" t="s">
        <v>297</v>
      </c>
      <c r="K81" s="204" t="s">
        <v>42</v>
      </c>
      <c r="L81" s="204" t="str">
        <f>VLOOKUP(K:K,供应商清单!$A:$B,2,0)</f>
        <v>众博</v>
      </c>
      <c r="M81" s="204" t="s">
        <v>298</v>
      </c>
      <c r="N81" s="204">
        <v>10001161298234</v>
      </c>
      <c r="O81" s="204">
        <v>71000121052607</v>
      </c>
      <c r="P81" s="206"/>
    </row>
    <row r="82" ht="14.25" spans="1:16">
      <c r="A82" s="200">
        <v>2321</v>
      </c>
      <c r="B82" s="201" t="s">
        <v>174</v>
      </c>
      <c r="C82" s="202">
        <v>44386.6406944444</v>
      </c>
      <c r="D82" s="202">
        <v>44386.6411805556</v>
      </c>
      <c r="E82" s="203" t="s">
        <v>311</v>
      </c>
      <c r="F82" s="204" t="s">
        <v>229</v>
      </c>
      <c r="G82" s="204">
        <v>1680</v>
      </c>
      <c r="H82" s="203" t="s">
        <v>261</v>
      </c>
      <c r="I82" s="204" t="s">
        <v>296</v>
      </c>
      <c r="J82" s="204" t="s">
        <v>297</v>
      </c>
      <c r="K82" s="204" t="s">
        <v>40</v>
      </c>
      <c r="L82" s="204" t="str">
        <f>VLOOKUP(K:K,供应商清单!$A:$B,2,0)</f>
        <v>镒沣</v>
      </c>
      <c r="M82" s="204" t="s">
        <v>298</v>
      </c>
      <c r="N82" s="204">
        <v>10001161298273</v>
      </c>
      <c r="O82" s="204">
        <v>71000121052679</v>
      </c>
      <c r="P82" s="206"/>
    </row>
    <row r="83" ht="14.25" spans="1:16">
      <c r="A83" s="200">
        <v>2322</v>
      </c>
      <c r="B83" s="201" t="s">
        <v>174</v>
      </c>
      <c r="C83" s="202">
        <v>44386.6406944444</v>
      </c>
      <c r="D83" s="202">
        <v>44386.6411921296</v>
      </c>
      <c r="E83" s="203" t="s">
        <v>307</v>
      </c>
      <c r="F83" s="204" t="s">
        <v>220</v>
      </c>
      <c r="G83" s="204">
        <v>200</v>
      </c>
      <c r="H83" s="203" t="s">
        <v>261</v>
      </c>
      <c r="I83" s="204" t="s">
        <v>296</v>
      </c>
      <c r="J83" s="204" t="s">
        <v>297</v>
      </c>
      <c r="K83" s="204" t="s">
        <v>40</v>
      </c>
      <c r="L83" s="204" t="str">
        <f>VLOOKUP(K:K,供应商清单!$A:$B,2,0)</f>
        <v>镒沣</v>
      </c>
      <c r="M83" s="204" t="s">
        <v>298</v>
      </c>
      <c r="N83" s="204">
        <v>10001161298275</v>
      </c>
      <c r="O83" s="204">
        <v>71000121061061</v>
      </c>
      <c r="P83" s="206"/>
    </row>
    <row r="84" ht="14.25" spans="1:16">
      <c r="A84" s="200">
        <v>2323</v>
      </c>
      <c r="B84" s="201" t="s">
        <v>174</v>
      </c>
      <c r="C84" s="202">
        <v>44386.6406944444</v>
      </c>
      <c r="D84" s="202">
        <v>44386.6411921296</v>
      </c>
      <c r="E84" s="203" t="s">
        <v>307</v>
      </c>
      <c r="F84" s="204" t="s">
        <v>220</v>
      </c>
      <c r="G84" s="204">
        <v>900</v>
      </c>
      <c r="H84" s="203" t="s">
        <v>261</v>
      </c>
      <c r="I84" s="204" t="s">
        <v>296</v>
      </c>
      <c r="J84" s="204" t="s">
        <v>297</v>
      </c>
      <c r="K84" s="204" t="s">
        <v>40</v>
      </c>
      <c r="L84" s="204" t="str">
        <f>VLOOKUP(K:K,供应商清单!$A:$B,2,0)</f>
        <v>镒沣</v>
      </c>
      <c r="M84" s="204" t="s">
        <v>298</v>
      </c>
      <c r="N84" s="204">
        <v>10001161298278</v>
      </c>
      <c r="O84" s="204">
        <v>71000121061061</v>
      </c>
      <c r="P84" s="206"/>
    </row>
    <row r="85" ht="14.25" spans="1:16">
      <c r="A85" s="200">
        <v>2324</v>
      </c>
      <c r="B85" s="201" t="s">
        <v>174</v>
      </c>
      <c r="C85" s="202">
        <v>44386.6406944444</v>
      </c>
      <c r="D85" s="202">
        <v>44386.6411921296</v>
      </c>
      <c r="E85" s="203" t="s">
        <v>307</v>
      </c>
      <c r="F85" s="204" t="s">
        <v>220</v>
      </c>
      <c r="G85" s="204">
        <v>900</v>
      </c>
      <c r="H85" s="203" t="s">
        <v>261</v>
      </c>
      <c r="I85" s="204" t="s">
        <v>296</v>
      </c>
      <c r="J85" s="204" t="s">
        <v>297</v>
      </c>
      <c r="K85" s="204" t="s">
        <v>40</v>
      </c>
      <c r="L85" s="204" t="str">
        <f>VLOOKUP(K:K,供应商清单!$A:$B,2,0)</f>
        <v>镒沣</v>
      </c>
      <c r="M85" s="204" t="s">
        <v>298</v>
      </c>
      <c r="N85" s="204">
        <v>10001161298278</v>
      </c>
      <c r="O85" s="204">
        <v>71000121042073</v>
      </c>
      <c r="P85" s="206"/>
    </row>
    <row r="86" ht="14.25" spans="1:16">
      <c r="A86" s="200">
        <v>2325</v>
      </c>
      <c r="B86" s="201" t="s">
        <v>174</v>
      </c>
      <c r="C86" s="202">
        <v>44386.6406944444</v>
      </c>
      <c r="D86" s="202">
        <v>44386.6411921296</v>
      </c>
      <c r="E86" s="203" t="s">
        <v>308</v>
      </c>
      <c r="F86" s="204" t="s">
        <v>309</v>
      </c>
      <c r="G86" s="204">
        <v>1572</v>
      </c>
      <c r="H86" s="203" t="s">
        <v>261</v>
      </c>
      <c r="I86" s="204" t="s">
        <v>296</v>
      </c>
      <c r="J86" s="204" t="s">
        <v>297</v>
      </c>
      <c r="K86" s="204" t="s">
        <v>42</v>
      </c>
      <c r="L86" s="204" t="str">
        <f>VLOOKUP(K:K,供应商清单!$A:$B,2,0)</f>
        <v>众博</v>
      </c>
      <c r="M86" s="204" t="s">
        <v>298</v>
      </c>
      <c r="N86" s="204">
        <v>10001161298303</v>
      </c>
      <c r="O86" s="204">
        <v>71000121052689</v>
      </c>
      <c r="P86" s="206"/>
    </row>
    <row r="87" ht="14.25" spans="1:16">
      <c r="A87" s="200">
        <v>2326</v>
      </c>
      <c r="B87" s="201" t="s">
        <v>174</v>
      </c>
      <c r="C87" s="202">
        <v>44386.6406944444</v>
      </c>
      <c r="D87" s="202">
        <v>44386.6411921296</v>
      </c>
      <c r="E87" s="203" t="s">
        <v>308</v>
      </c>
      <c r="F87" s="204" t="s">
        <v>309</v>
      </c>
      <c r="G87" s="204">
        <v>1500</v>
      </c>
      <c r="H87" s="203" t="s">
        <v>261</v>
      </c>
      <c r="I87" s="204" t="s">
        <v>296</v>
      </c>
      <c r="J87" s="204" t="s">
        <v>297</v>
      </c>
      <c r="K87" s="204" t="s">
        <v>42</v>
      </c>
      <c r="L87" s="204" t="str">
        <f>VLOOKUP(K:K,供应商清单!$A:$B,2,0)</f>
        <v>众博</v>
      </c>
      <c r="M87" s="204" t="s">
        <v>298</v>
      </c>
      <c r="N87" s="204">
        <v>10001161298303</v>
      </c>
      <c r="O87" s="204">
        <v>71000121052689</v>
      </c>
      <c r="P87" s="206"/>
    </row>
    <row r="88" ht="14.25" spans="1:16">
      <c r="A88" s="200">
        <v>2327</v>
      </c>
      <c r="B88" s="201" t="s">
        <v>174</v>
      </c>
      <c r="C88" s="202">
        <v>44386.6406944444</v>
      </c>
      <c r="D88" s="202">
        <v>44386.6411921296</v>
      </c>
      <c r="E88" s="203" t="s">
        <v>321</v>
      </c>
      <c r="F88" s="204" t="s">
        <v>318</v>
      </c>
      <c r="G88" s="204">
        <v>540</v>
      </c>
      <c r="H88" s="203" t="s">
        <v>261</v>
      </c>
      <c r="I88" s="204" t="s">
        <v>296</v>
      </c>
      <c r="J88" s="204" t="s">
        <v>297</v>
      </c>
      <c r="K88" s="204" t="s">
        <v>42</v>
      </c>
      <c r="L88" s="204" t="str">
        <f>VLOOKUP(K:K,供应商清单!$A:$B,2,0)</f>
        <v>众博</v>
      </c>
      <c r="M88" s="204" t="s">
        <v>298</v>
      </c>
      <c r="N88" s="204">
        <v>10001161298304</v>
      </c>
      <c r="O88" s="204">
        <v>71000121052488</v>
      </c>
      <c r="P88" s="206"/>
    </row>
    <row r="89" ht="14.25" spans="1:16">
      <c r="A89" s="200">
        <v>2328</v>
      </c>
      <c r="B89" s="201" t="s">
        <v>174</v>
      </c>
      <c r="C89" s="202">
        <v>44386.6408564815</v>
      </c>
      <c r="D89" s="202">
        <v>44386.6411921296</v>
      </c>
      <c r="E89" s="203" t="s">
        <v>317</v>
      </c>
      <c r="F89" s="204" t="s">
        <v>318</v>
      </c>
      <c r="G89" s="204">
        <v>1920</v>
      </c>
      <c r="H89" s="203" t="s">
        <v>261</v>
      </c>
      <c r="I89" s="204" t="s">
        <v>296</v>
      </c>
      <c r="J89" s="204" t="s">
        <v>297</v>
      </c>
      <c r="K89" s="204" t="s">
        <v>42</v>
      </c>
      <c r="L89" s="204" t="str">
        <f>VLOOKUP(K:K,供应商清单!$A:$B,2,0)</f>
        <v>众博</v>
      </c>
      <c r="M89" s="204" t="s">
        <v>298</v>
      </c>
      <c r="N89" s="204">
        <v>10001161298306</v>
      </c>
      <c r="O89" s="204">
        <v>71000121060024</v>
      </c>
      <c r="P89" s="206"/>
    </row>
    <row r="90" ht="14.25" spans="1:16">
      <c r="A90" s="200">
        <v>2329</v>
      </c>
      <c r="B90" s="201" t="s">
        <v>174</v>
      </c>
      <c r="C90" s="202">
        <v>44386.6408564815</v>
      </c>
      <c r="D90" s="202">
        <v>44386.6412037037</v>
      </c>
      <c r="E90" s="203" t="s">
        <v>314</v>
      </c>
      <c r="F90" s="204" t="s">
        <v>315</v>
      </c>
      <c r="G90" s="204">
        <v>370</v>
      </c>
      <c r="H90" s="203" t="s">
        <v>261</v>
      </c>
      <c r="I90" s="204" t="s">
        <v>296</v>
      </c>
      <c r="J90" s="204" t="s">
        <v>297</v>
      </c>
      <c r="K90" s="204" t="s">
        <v>42</v>
      </c>
      <c r="L90" s="204" t="str">
        <f>VLOOKUP(K:K,供应商清单!$A:$B,2,0)</f>
        <v>众博</v>
      </c>
      <c r="M90" s="204" t="s">
        <v>298</v>
      </c>
      <c r="N90" s="204">
        <v>10001161298307</v>
      </c>
      <c r="O90" s="204">
        <v>71000121052488</v>
      </c>
      <c r="P90" s="206"/>
    </row>
    <row r="91" ht="14.25" spans="1:16">
      <c r="A91" s="200">
        <v>2330</v>
      </c>
      <c r="B91" s="201" t="s">
        <v>174</v>
      </c>
      <c r="C91" s="202">
        <v>44386.6408564815</v>
      </c>
      <c r="D91" s="202">
        <v>44386.6412037037</v>
      </c>
      <c r="E91" s="203" t="s">
        <v>322</v>
      </c>
      <c r="F91" s="204" t="s">
        <v>323</v>
      </c>
      <c r="G91" s="204">
        <v>365</v>
      </c>
      <c r="H91" s="203" t="s">
        <v>261</v>
      </c>
      <c r="I91" s="204" t="s">
        <v>296</v>
      </c>
      <c r="J91" s="204" t="s">
        <v>297</v>
      </c>
      <c r="K91" s="204" t="s">
        <v>42</v>
      </c>
      <c r="L91" s="204" t="str">
        <f>VLOOKUP(K:K,供应商清单!$A:$B,2,0)</f>
        <v>众博</v>
      </c>
      <c r="M91" s="204" t="s">
        <v>298</v>
      </c>
      <c r="N91" s="204">
        <v>10001161298308</v>
      </c>
      <c r="O91" s="204">
        <v>71000121050312</v>
      </c>
      <c r="P91" s="206"/>
    </row>
    <row r="92" ht="14.25" spans="1:16">
      <c r="A92" s="200">
        <v>2331</v>
      </c>
      <c r="B92" s="201" t="s">
        <v>174</v>
      </c>
      <c r="C92" s="202">
        <v>44386.6408564815</v>
      </c>
      <c r="D92" s="202">
        <v>44386.6412037037</v>
      </c>
      <c r="E92" s="203" t="s">
        <v>322</v>
      </c>
      <c r="F92" s="204" t="s">
        <v>323</v>
      </c>
      <c r="G92" s="204">
        <v>1013</v>
      </c>
      <c r="H92" s="203" t="s">
        <v>261</v>
      </c>
      <c r="I92" s="204" t="s">
        <v>296</v>
      </c>
      <c r="J92" s="204" t="s">
        <v>297</v>
      </c>
      <c r="K92" s="204" t="s">
        <v>42</v>
      </c>
      <c r="L92" s="204" t="str">
        <f>VLOOKUP(K:K,供应商清单!$A:$B,2,0)</f>
        <v>众博</v>
      </c>
      <c r="M92" s="204" t="s">
        <v>298</v>
      </c>
      <c r="N92" s="204">
        <v>10001161298309</v>
      </c>
      <c r="O92" s="204">
        <v>71000121052702</v>
      </c>
      <c r="P92" s="206"/>
    </row>
    <row r="93" ht="14.25" spans="1:16">
      <c r="A93" s="200">
        <v>2332</v>
      </c>
      <c r="B93" s="201" t="s">
        <v>174</v>
      </c>
      <c r="C93" s="202">
        <v>44386.6408680556</v>
      </c>
      <c r="D93" s="202">
        <v>44386.6412037037</v>
      </c>
      <c r="E93" s="203" t="s">
        <v>322</v>
      </c>
      <c r="F93" s="204" t="s">
        <v>323</v>
      </c>
      <c r="G93" s="204">
        <v>800</v>
      </c>
      <c r="H93" s="203" t="s">
        <v>261</v>
      </c>
      <c r="I93" s="204" t="s">
        <v>296</v>
      </c>
      <c r="J93" s="204" t="s">
        <v>297</v>
      </c>
      <c r="K93" s="204" t="s">
        <v>42</v>
      </c>
      <c r="L93" s="204" t="str">
        <f>VLOOKUP(K:K,供应商清单!$A:$B,2,0)</f>
        <v>众博</v>
      </c>
      <c r="M93" s="204" t="s">
        <v>298</v>
      </c>
      <c r="N93" s="204">
        <v>10001161298309</v>
      </c>
      <c r="O93" s="204">
        <v>71000121050312</v>
      </c>
      <c r="P93" s="206"/>
    </row>
    <row r="94" ht="14.25" spans="1:16">
      <c r="A94" s="200">
        <v>2333</v>
      </c>
      <c r="B94" s="201" t="s">
        <v>174</v>
      </c>
      <c r="C94" s="202">
        <v>44386.6408680556</v>
      </c>
      <c r="D94" s="202">
        <v>44386.6412037037</v>
      </c>
      <c r="E94" s="203" t="s">
        <v>322</v>
      </c>
      <c r="F94" s="204" t="s">
        <v>323</v>
      </c>
      <c r="G94" s="204">
        <v>422</v>
      </c>
      <c r="H94" s="203" t="s">
        <v>261</v>
      </c>
      <c r="I94" s="204" t="s">
        <v>296</v>
      </c>
      <c r="J94" s="204" t="s">
        <v>297</v>
      </c>
      <c r="K94" s="204" t="s">
        <v>42</v>
      </c>
      <c r="L94" s="204" t="str">
        <f>VLOOKUP(K:K,供应商清单!$A:$B,2,0)</f>
        <v>众博</v>
      </c>
      <c r="M94" s="204" t="s">
        <v>298</v>
      </c>
      <c r="N94" s="204">
        <v>10001161298309</v>
      </c>
      <c r="O94" s="204">
        <v>71000121050312</v>
      </c>
      <c r="P94" s="206"/>
    </row>
    <row r="95" ht="14.25" spans="1:16">
      <c r="A95" s="200">
        <v>2419</v>
      </c>
      <c r="B95" s="201" t="s">
        <v>174</v>
      </c>
      <c r="C95" s="202">
        <v>44388.3714814815</v>
      </c>
      <c r="D95" s="202">
        <v>44388.3717824074</v>
      </c>
      <c r="E95" s="203" t="s">
        <v>324</v>
      </c>
      <c r="F95" s="204" t="s">
        <v>220</v>
      </c>
      <c r="G95" s="204">
        <v>1400</v>
      </c>
      <c r="H95" s="203" t="s">
        <v>261</v>
      </c>
      <c r="I95" s="204" t="s">
        <v>296</v>
      </c>
      <c r="J95" s="204" t="s">
        <v>297</v>
      </c>
      <c r="K95" s="204" t="s">
        <v>38</v>
      </c>
      <c r="L95" s="204" t="str">
        <f>VLOOKUP(K:K,供应商清单!$A:$B,2,0)</f>
        <v>优云</v>
      </c>
      <c r="M95" s="204" t="s">
        <v>298</v>
      </c>
      <c r="N95" s="204">
        <v>10001161298532</v>
      </c>
      <c r="O95" s="204">
        <v>71000121052003</v>
      </c>
      <c r="P95" s="206"/>
    </row>
    <row r="96" ht="14.25" spans="1:16">
      <c r="A96" s="200">
        <v>2420</v>
      </c>
      <c r="B96" s="201" t="s">
        <v>174</v>
      </c>
      <c r="C96" s="202">
        <v>44388.3714814815</v>
      </c>
      <c r="D96" s="202">
        <v>44388.3717939815</v>
      </c>
      <c r="E96" s="203" t="s">
        <v>325</v>
      </c>
      <c r="F96" s="204" t="s">
        <v>220</v>
      </c>
      <c r="G96" s="204">
        <v>2200</v>
      </c>
      <c r="H96" s="203" t="s">
        <v>261</v>
      </c>
      <c r="I96" s="204" t="s">
        <v>296</v>
      </c>
      <c r="J96" s="204" t="s">
        <v>297</v>
      </c>
      <c r="K96" s="204" t="s">
        <v>38</v>
      </c>
      <c r="L96" s="204" t="str">
        <f>VLOOKUP(K:K,供应商清单!$A:$B,2,0)</f>
        <v>优云</v>
      </c>
      <c r="M96" s="204" t="s">
        <v>298</v>
      </c>
      <c r="N96" s="204">
        <v>10001161298533</v>
      </c>
      <c r="O96" s="204">
        <v>71000121051894</v>
      </c>
      <c r="P96" s="206"/>
    </row>
    <row r="97" ht="14.25" spans="1:16">
      <c r="A97" s="200">
        <v>2421</v>
      </c>
      <c r="B97" s="201" t="s">
        <v>174</v>
      </c>
      <c r="C97" s="202">
        <v>44388.3714814815</v>
      </c>
      <c r="D97" s="202">
        <v>44388.3717939815</v>
      </c>
      <c r="E97" s="203" t="s">
        <v>326</v>
      </c>
      <c r="F97" s="204" t="s">
        <v>229</v>
      </c>
      <c r="G97" s="204">
        <v>860</v>
      </c>
      <c r="H97" s="203" t="s">
        <v>261</v>
      </c>
      <c r="I97" s="204" t="s">
        <v>296</v>
      </c>
      <c r="J97" s="204" t="s">
        <v>297</v>
      </c>
      <c r="K97" s="204" t="s">
        <v>38</v>
      </c>
      <c r="L97" s="204" t="str">
        <f>VLOOKUP(K:K,供应商清单!$A:$B,2,0)</f>
        <v>优云</v>
      </c>
      <c r="M97" s="204" t="s">
        <v>298</v>
      </c>
      <c r="N97" s="204">
        <v>10001161298534</v>
      </c>
      <c r="O97" s="204">
        <v>71000121051503</v>
      </c>
      <c r="P97" s="206"/>
    </row>
    <row r="98" ht="14.25" spans="1:16">
      <c r="A98" s="200">
        <v>2422</v>
      </c>
      <c r="B98" s="201" t="s">
        <v>174</v>
      </c>
      <c r="C98" s="202">
        <v>44388.3714814815</v>
      </c>
      <c r="D98" s="202">
        <v>44388.3717939815</v>
      </c>
      <c r="E98" s="203" t="s">
        <v>327</v>
      </c>
      <c r="F98" s="204" t="s">
        <v>328</v>
      </c>
      <c r="G98" s="204">
        <v>100</v>
      </c>
      <c r="H98" s="203" t="s">
        <v>261</v>
      </c>
      <c r="I98" s="204" t="s">
        <v>296</v>
      </c>
      <c r="J98" s="204" t="s">
        <v>297</v>
      </c>
      <c r="K98" s="204" t="s">
        <v>38</v>
      </c>
      <c r="L98" s="204" t="str">
        <f>VLOOKUP(K:K,供应商清单!$A:$B,2,0)</f>
        <v>优云</v>
      </c>
      <c r="M98" s="204" t="s">
        <v>298</v>
      </c>
      <c r="N98" s="204">
        <v>10001161298535</v>
      </c>
      <c r="O98" s="204">
        <v>71000121061493</v>
      </c>
      <c r="P98" s="206"/>
    </row>
    <row r="99" ht="14.25" spans="1:16">
      <c r="A99" s="200">
        <v>2423</v>
      </c>
      <c r="B99" s="201" t="s">
        <v>174</v>
      </c>
      <c r="C99" s="202">
        <v>44388.3714814815</v>
      </c>
      <c r="D99" s="202">
        <v>44388.3717939815</v>
      </c>
      <c r="E99" s="203" t="s">
        <v>327</v>
      </c>
      <c r="F99" s="204" t="s">
        <v>328</v>
      </c>
      <c r="G99" s="204">
        <v>2000</v>
      </c>
      <c r="H99" s="203" t="s">
        <v>261</v>
      </c>
      <c r="I99" s="204" t="s">
        <v>296</v>
      </c>
      <c r="J99" s="204" t="s">
        <v>297</v>
      </c>
      <c r="K99" s="204" t="s">
        <v>38</v>
      </c>
      <c r="L99" s="204" t="str">
        <f>VLOOKUP(K:K,供应商清单!$A:$B,2,0)</f>
        <v>优云</v>
      </c>
      <c r="M99" s="204" t="s">
        <v>298</v>
      </c>
      <c r="N99" s="204">
        <v>10001161298535</v>
      </c>
      <c r="O99" s="204">
        <v>71000121061493</v>
      </c>
      <c r="P99" s="206"/>
    </row>
    <row r="100" ht="14.25" spans="1:16">
      <c r="A100" s="200">
        <v>2424</v>
      </c>
      <c r="B100" s="201" t="s">
        <v>174</v>
      </c>
      <c r="C100" s="202">
        <v>44388.3714814815</v>
      </c>
      <c r="D100" s="202">
        <v>44388.3717939815</v>
      </c>
      <c r="E100" s="203" t="s">
        <v>327</v>
      </c>
      <c r="F100" s="204" t="s">
        <v>328</v>
      </c>
      <c r="G100" s="204">
        <v>167</v>
      </c>
      <c r="H100" s="203" t="s">
        <v>261</v>
      </c>
      <c r="I100" s="204" t="s">
        <v>296</v>
      </c>
      <c r="J100" s="204" t="s">
        <v>297</v>
      </c>
      <c r="K100" s="204" t="s">
        <v>38</v>
      </c>
      <c r="L100" s="204" t="str">
        <f>VLOOKUP(K:K,供应商清单!$A:$B,2,0)</f>
        <v>优云</v>
      </c>
      <c r="M100" s="204" t="s">
        <v>298</v>
      </c>
      <c r="N100" s="204">
        <v>10001161298535</v>
      </c>
      <c r="O100" s="204">
        <v>71000121051894</v>
      </c>
      <c r="P100" s="206"/>
    </row>
    <row r="101" ht="14.25" spans="1:16">
      <c r="A101" s="200">
        <v>2430</v>
      </c>
      <c r="B101" s="201" t="s">
        <v>174</v>
      </c>
      <c r="C101" s="202">
        <v>44388.3938541667</v>
      </c>
      <c r="D101" s="202">
        <v>44388.3940625</v>
      </c>
      <c r="E101" s="203" t="s">
        <v>93</v>
      </c>
      <c r="F101" s="204" t="s">
        <v>220</v>
      </c>
      <c r="G101" s="204">
        <v>400</v>
      </c>
      <c r="H101" s="203" t="s">
        <v>261</v>
      </c>
      <c r="I101" s="204" t="s">
        <v>296</v>
      </c>
      <c r="J101" s="204" t="s">
        <v>297</v>
      </c>
      <c r="K101" s="204" t="s">
        <v>23</v>
      </c>
      <c r="L101" s="204" t="str">
        <f>VLOOKUP(K:K,供应商清单!$A:$B,2,0)</f>
        <v>天沃</v>
      </c>
      <c r="M101" s="204" t="s">
        <v>176</v>
      </c>
      <c r="N101" s="204">
        <v>10001161298543</v>
      </c>
      <c r="O101" s="204">
        <v>71000121062178</v>
      </c>
      <c r="P101" s="206"/>
    </row>
    <row r="102" ht="14.25" spans="1:16">
      <c r="A102" s="200">
        <v>2431</v>
      </c>
      <c r="B102" s="201" t="s">
        <v>174</v>
      </c>
      <c r="C102" s="202">
        <v>44388.3938541667</v>
      </c>
      <c r="D102" s="202">
        <v>44388.3940625</v>
      </c>
      <c r="E102" s="203" t="s">
        <v>93</v>
      </c>
      <c r="F102" s="204" t="s">
        <v>220</v>
      </c>
      <c r="G102" s="204">
        <v>2700</v>
      </c>
      <c r="H102" s="203" t="s">
        <v>261</v>
      </c>
      <c r="I102" s="204" t="s">
        <v>296</v>
      </c>
      <c r="J102" s="204" t="s">
        <v>297</v>
      </c>
      <c r="K102" s="204" t="s">
        <v>23</v>
      </c>
      <c r="L102" s="204" t="str">
        <f>VLOOKUP(K:K,供应商清单!$A:$B,2,0)</f>
        <v>天沃</v>
      </c>
      <c r="M102" s="204" t="s">
        <v>176</v>
      </c>
      <c r="N102" s="204">
        <v>10001161298543</v>
      </c>
      <c r="O102" s="204">
        <v>71000121061150</v>
      </c>
      <c r="P102" s="206"/>
    </row>
    <row r="103" ht="14.25" spans="1:16">
      <c r="A103" s="200">
        <v>2432</v>
      </c>
      <c r="B103" s="201" t="s">
        <v>174</v>
      </c>
      <c r="C103" s="202">
        <v>44388.3938541667</v>
      </c>
      <c r="D103" s="202">
        <v>44388.3940625</v>
      </c>
      <c r="E103" s="203" t="s">
        <v>69</v>
      </c>
      <c r="F103" s="204" t="s">
        <v>220</v>
      </c>
      <c r="G103" s="204">
        <v>692</v>
      </c>
      <c r="H103" s="203" t="s">
        <v>261</v>
      </c>
      <c r="I103" s="204" t="s">
        <v>296</v>
      </c>
      <c r="J103" s="204" t="s">
        <v>297</v>
      </c>
      <c r="K103" s="204" t="s">
        <v>53</v>
      </c>
      <c r="L103" s="204" t="str">
        <f>VLOOKUP(K:K,供应商清单!$A:$B,2,0)</f>
        <v>东睿</v>
      </c>
      <c r="M103" s="204" t="s">
        <v>176</v>
      </c>
      <c r="N103" s="204">
        <v>10001161298544</v>
      </c>
      <c r="O103" s="204">
        <v>71000121062076</v>
      </c>
      <c r="P103" s="206"/>
    </row>
    <row r="104" ht="14.25" spans="1:16">
      <c r="A104" s="200">
        <v>2433</v>
      </c>
      <c r="B104" s="201" t="s">
        <v>174</v>
      </c>
      <c r="C104" s="202">
        <v>44388.3938541667</v>
      </c>
      <c r="D104" s="202">
        <v>44388.3940625</v>
      </c>
      <c r="E104" s="203" t="s">
        <v>69</v>
      </c>
      <c r="F104" s="204" t="s">
        <v>220</v>
      </c>
      <c r="G104" s="204">
        <v>411</v>
      </c>
      <c r="H104" s="203" t="s">
        <v>261</v>
      </c>
      <c r="I104" s="204" t="s">
        <v>296</v>
      </c>
      <c r="J104" s="204" t="s">
        <v>297</v>
      </c>
      <c r="K104" s="204" t="s">
        <v>53</v>
      </c>
      <c r="L104" s="204" t="str">
        <f>VLOOKUP(K:K,供应商清单!$A:$B,2,0)</f>
        <v>东睿</v>
      </c>
      <c r="M104" s="204" t="s">
        <v>176</v>
      </c>
      <c r="N104" s="204">
        <v>10001161298544</v>
      </c>
      <c r="O104" s="204">
        <v>71000121062076</v>
      </c>
      <c r="P104" s="206"/>
    </row>
    <row r="105" ht="14.25" spans="1:16">
      <c r="A105" s="200">
        <v>2434</v>
      </c>
      <c r="B105" s="201" t="s">
        <v>174</v>
      </c>
      <c r="C105" s="202">
        <v>44388.3938541667</v>
      </c>
      <c r="D105" s="202">
        <v>44388.3940625</v>
      </c>
      <c r="E105" s="203" t="s">
        <v>69</v>
      </c>
      <c r="F105" s="204" t="s">
        <v>220</v>
      </c>
      <c r="G105" s="204">
        <v>257</v>
      </c>
      <c r="H105" s="203" t="s">
        <v>261</v>
      </c>
      <c r="I105" s="204" t="s">
        <v>296</v>
      </c>
      <c r="J105" s="204" t="s">
        <v>297</v>
      </c>
      <c r="K105" s="204" t="s">
        <v>53</v>
      </c>
      <c r="L105" s="204" t="str">
        <f>VLOOKUP(K:K,供应商清单!$A:$B,2,0)</f>
        <v>东睿</v>
      </c>
      <c r="M105" s="204" t="s">
        <v>176</v>
      </c>
      <c r="N105" s="204">
        <v>10001161298544</v>
      </c>
      <c r="O105" s="204">
        <v>71000121062076</v>
      </c>
      <c r="P105" s="206"/>
    </row>
    <row r="106" ht="14.25" spans="1:16">
      <c r="A106" s="200">
        <v>2435</v>
      </c>
      <c r="B106" s="201" t="s">
        <v>174</v>
      </c>
      <c r="C106" s="202">
        <v>44388.3938541667</v>
      </c>
      <c r="D106" s="202">
        <v>44388.3940740741</v>
      </c>
      <c r="E106" s="203" t="s">
        <v>64</v>
      </c>
      <c r="F106" s="204" t="s">
        <v>263</v>
      </c>
      <c r="G106" s="204">
        <v>1640</v>
      </c>
      <c r="H106" s="203" t="s">
        <v>261</v>
      </c>
      <c r="I106" s="204" t="s">
        <v>296</v>
      </c>
      <c r="J106" s="204" t="s">
        <v>297</v>
      </c>
      <c r="K106" s="204" t="s">
        <v>51</v>
      </c>
      <c r="L106" s="204" t="str">
        <f>VLOOKUP(K:K,供应商清单!$A:$B,2,0)</f>
        <v>顶尖</v>
      </c>
      <c r="M106" s="204" t="s">
        <v>176</v>
      </c>
      <c r="N106" s="204">
        <v>10001161298545</v>
      </c>
      <c r="O106" s="204">
        <v>71000121061516</v>
      </c>
      <c r="P106" s="206"/>
    </row>
    <row r="107" ht="14.25" spans="1:16">
      <c r="A107" s="200">
        <v>2446</v>
      </c>
      <c r="B107" s="201" t="s">
        <v>174</v>
      </c>
      <c r="C107" s="202">
        <v>44388.3928703704</v>
      </c>
      <c r="D107" s="202">
        <v>44388.3930555556</v>
      </c>
      <c r="E107" s="203" t="s">
        <v>103</v>
      </c>
      <c r="F107" s="204" t="s">
        <v>220</v>
      </c>
      <c r="G107" s="204">
        <v>574</v>
      </c>
      <c r="H107" s="203" t="s">
        <v>261</v>
      </c>
      <c r="I107" s="204" t="s">
        <v>296</v>
      </c>
      <c r="J107" s="204" t="s">
        <v>297</v>
      </c>
      <c r="K107" s="204" t="s">
        <v>18</v>
      </c>
      <c r="L107" s="204" t="str">
        <f>VLOOKUP(K:K,供应商清单!$A:$B,2,0)</f>
        <v>中扬</v>
      </c>
      <c r="M107" s="204" t="s">
        <v>176</v>
      </c>
      <c r="N107" s="204">
        <v>10001161298546</v>
      </c>
      <c r="O107" s="204">
        <v>71000121061165</v>
      </c>
      <c r="P107" s="206"/>
    </row>
    <row r="108" ht="14.25" spans="1:16">
      <c r="A108" s="200">
        <v>2447</v>
      </c>
      <c r="B108" s="201" t="s">
        <v>174</v>
      </c>
      <c r="C108" s="202">
        <v>44388.3928703704</v>
      </c>
      <c r="D108" s="202">
        <v>44388.3930555556</v>
      </c>
      <c r="E108" s="203" t="s">
        <v>103</v>
      </c>
      <c r="F108" s="204" t="s">
        <v>220</v>
      </c>
      <c r="G108" s="204">
        <v>3411</v>
      </c>
      <c r="H108" s="203" t="s">
        <v>261</v>
      </c>
      <c r="I108" s="204" t="s">
        <v>296</v>
      </c>
      <c r="J108" s="204" t="s">
        <v>297</v>
      </c>
      <c r="K108" s="204" t="s">
        <v>18</v>
      </c>
      <c r="L108" s="204" t="str">
        <f>VLOOKUP(K:K,供应商清单!$A:$B,2,0)</f>
        <v>中扬</v>
      </c>
      <c r="M108" s="204" t="s">
        <v>176</v>
      </c>
      <c r="N108" s="204">
        <v>10001161298547</v>
      </c>
      <c r="O108" s="204">
        <v>71000121061307</v>
      </c>
      <c r="P108" s="206"/>
    </row>
    <row r="109" ht="14.25" spans="1:16">
      <c r="A109" s="200">
        <v>2448</v>
      </c>
      <c r="B109" s="201" t="s">
        <v>174</v>
      </c>
      <c r="C109" s="202">
        <v>44388.3928703704</v>
      </c>
      <c r="D109" s="202">
        <v>44388.3930671296</v>
      </c>
      <c r="E109" s="203" t="s">
        <v>103</v>
      </c>
      <c r="F109" s="204" t="s">
        <v>220</v>
      </c>
      <c r="G109" s="204">
        <v>1075</v>
      </c>
      <c r="H109" s="203" t="s">
        <v>261</v>
      </c>
      <c r="I109" s="204" t="s">
        <v>296</v>
      </c>
      <c r="J109" s="204" t="s">
        <v>297</v>
      </c>
      <c r="K109" s="204" t="s">
        <v>18</v>
      </c>
      <c r="L109" s="204" t="str">
        <f>VLOOKUP(K:K,供应商清单!$A:$B,2,0)</f>
        <v>中扬</v>
      </c>
      <c r="M109" s="204" t="s">
        <v>176</v>
      </c>
      <c r="N109" s="204">
        <v>10001161298547</v>
      </c>
      <c r="O109" s="204">
        <v>71000121061165</v>
      </c>
      <c r="P109" s="206"/>
    </row>
    <row r="110" ht="14.25" spans="1:16">
      <c r="A110" s="200">
        <v>2449</v>
      </c>
      <c r="B110" s="201" t="s">
        <v>174</v>
      </c>
      <c r="C110" s="202">
        <v>44388.3928703704</v>
      </c>
      <c r="D110" s="202">
        <v>44388.3930671296</v>
      </c>
      <c r="E110" s="203" t="s">
        <v>103</v>
      </c>
      <c r="F110" s="204" t="s">
        <v>220</v>
      </c>
      <c r="G110" s="204">
        <v>2940</v>
      </c>
      <c r="H110" s="203" t="s">
        <v>261</v>
      </c>
      <c r="I110" s="204" t="s">
        <v>296</v>
      </c>
      <c r="J110" s="204" t="s">
        <v>297</v>
      </c>
      <c r="K110" s="204" t="s">
        <v>18</v>
      </c>
      <c r="L110" s="204" t="str">
        <f>VLOOKUP(K:K,供应商清单!$A:$B,2,0)</f>
        <v>中扬</v>
      </c>
      <c r="M110" s="204" t="s">
        <v>176</v>
      </c>
      <c r="N110" s="204">
        <v>10001161298565</v>
      </c>
      <c r="O110" s="204">
        <v>71000121061307</v>
      </c>
      <c r="P110" s="206"/>
    </row>
    <row r="111" ht="14.25" spans="1:16">
      <c r="A111" s="200">
        <v>2455</v>
      </c>
      <c r="B111" s="201" t="s">
        <v>174</v>
      </c>
      <c r="C111" s="202">
        <v>44390.4042476852</v>
      </c>
      <c r="D111" s="202">
        <v>44390.4045949074</v>
      </c>
      <c r="E111" s="203" t="s">
        <v>316</v>
      </c>
      <c r="F111" s="204" t="s">
        <v>283</v>
      </c>
      <c r="G111" s="204">
        <v>66</v>
      </c>
      <c r="H111" s="203" t="s">
        <v>261</v>
      </c>
      <c r="I111" s="204" t="s">
        <v>296</v>
      </c>
      <c r="J111" s="204" t="s">
        <v>297</v>
      </c>
      <c r="K111" s="204" t="s">
        <v>42</v>
      </c>
      <c r="L111" s="204" t="str">
        <f>VLOOKUP(K:K,供应商清单!$A:$B,2,0)</f>
        <v>众博</v>
      </c>
      <c r="M111" s="204" t="s">
        <v>298</v>
      </c>
      <c r="N111" s="204">
        <v>10001161298646</v>
      </c>
      <c r="O111" s="204">
        <v>71000121050591</v>
      </c>
      <c r="P111" s="206"/>
    </row>
    <row r="112" ht="14.25" spans="1:16">
      <c r="A112" s="200">
        <v>2456</v>
      </c>
      <c r="B112" s="201" t="s">
        <v>174</v>
      </c>
      <c r="C112" s="202">
        <v>44390.4042476852</v>
      </c>
      <c r="D112" s="202">
        <v>44390.4045949074</v>
      </c>
      <c r="E112" s="203" t="s">
        <v>316</v>
      </c>
      <c r="F112" s="204" t="s">
        <v>283</v>
      </c>
      <c r="G112" s="204">
        <v>500</v>
      </c>
      <c r="H112" s="203" t="s">
        <v>261</v>
      </c>
      <c r="I112" s="204" t="s">
        <v>296</v>
      </c>
      <c r="J112" s="204" t="s">
        <v>297</v>
      </c>
      <c r="K112" s="204" t="s">
        <v>42</v>
      </c>
      <c r="L112" s="204" t="str">
        <f>VLOOKUP(K:K,供应商清单!$A:$B,2,0)</f>
        <v>众博</v>
      </c>
      <c r="M112" s="204" t="s">
        <v>298</v>
      </c>
      <c r="N112" s="204">
        <v>10001161298646</v>
      </c>
      <c r="O112" s="204">
        <v>71000121051898</v>
      </c>
      <c r="P112" s="206"/>
    </row>
    <row r="113" ht="14.25" spans="1:16">
      <c r="A113" s="200">
        <v>2457</v>
      </c>
      <c r="B113" s="201" t="s">
        <v>174</v>
      </c>
      <c r="C113" s="202">
        <v>44390.4042476852</v>
      </c>
      <c r="D113" s="202">
        <v>44390.4045949074</v>
      </c>
      <c r="E113" s="203" t="s">
        <v>316</v>
      </c>
      <c r="F113" s="204" t="s">
        <v>283</v>
      </c>
      <c r="G113" s="204">
        <v>84</v>
      </c>
      <c r="H113" s="203" t="s">
        <v>261</v>
      </c>
      <c r="I113" s="204" t="s">
        <v>296</v>
      </c>
      <c r="J113" s="204" t="s">
        <v>297</v>
      </c>
      <c r="K113" s="204" t="s">
        <v>42</v>
      </c>
      <c r="L113" s="204" t="str">
        <f>VLOOKUP(K:K,供应商清单!$A:$B,2,0)</f>
        <v>众博</v>
      </c>
      <c r="M113" s="204" t="s">
        <v>298</v>
      </c>
      <c r="N113" s="204">
        <v>10001161298646</v>
      </c>
      <c r="O113" s="204">
        <v>71000121052607</v>
      </c>
      <c r="P113" s="206"/>
    </row>
    <row r="114" ht="14.25" spans="1:16">
      <c r="A114" s="200">
        <v>2458</v>
      </c>
      <c r="B114" s="201" t="s">
        <v>174</v>
      </c>
      <c r="C114" s="202">
        <v>44390.4042476852</v>
      </c>
      <c r="D114" s="202">
        <v>44390.4045949074</v>
      </c>
      <c r="E114" s="203" t="s">
        <v>316</v>
      </c>
      <c r="F114" s="204" t="s">
        <v>283</v>
      </c>
      <c r="G114" s="204">
        <v>1418</v>
      </c>
      <c r="H114" s="203" t="s">
        <v>261</v>
      </c>
      <c r="I114" s="204" t="s">
        <v>296</v>
      </c>
      <c r="J114" s="204" t="s">
        <v>297</v>
      </c>
      <c r="K114" s="204" t="s">
        <v>42</v>
      </c>
      <c r="L114" s="204" t="str">
        <f>VLOOKUP(K:K,供应商清单!$A:$B,2,0)</f>
        <v>众博</v>
      </c>
      <c r="M114" s="204" t="s">
        <v>298</v>
      </c>
      <c r="N114" s="204">
        <v>10001161298646</v>
      </c>
      <c r="O114" s="204">
        <v>71000121070163</v>
      </c>
      <c r="P114" s="206"/>
    </row>
    <row r="115" ht="14.25" spans="1:16">
      <c r="A115" s="200">
        <v>2466</v>
      </c>
      <c r="B115" s="201" t="s">
        <v>174</v>
      </c>
      <c r="C115" s="202">
        <v>44390.4042592593</v>
      </c>
      <c r="D115" s="202">
        <v>44390.4046064815</v>
      </c>
      <c r="E115" s="203" t="s">
        <v>329</v>
      </c>
      <c r="F115" s="204" t="s">
        <v>229</v>
      </c>
      <c r="G115" s="204">
        <v>1384</v>
      </c>
      <c r="H115" s="203" t="s">
        <v>261</v>
      </c>
      <c r="I115" s="204" t="s">
        <v>296</v>
      </c>
      <c r="J115" s="204" t="s">
        <v>297</v>
      </c>
      <c r="K115" s="204" t="s">
        <v>42</v>
      </c>
      <c r="L115" s="204" t="str">
        <f>VLOOKUP(K:K,供应商清单!$A:$B,2,0)</f>
        <v>众博</v>
      </c>
      <c r="M115" s="204" t="s">
        <v>298</v>
      </c>
      <c r="N115" s="204">
        <v>10001161298645</v>
      </c>
      <c r="O115" s="204">
        <v>71000121061496</v>
      </c>
      <c r="P115" s="206"/>
    </row>
    <row r="116" ht="14.25" spans="1:16">
      <c r="A116" s="200">
        <v>2467</v>
      </c>
      <c r="B116" s="201" t="s">
        <v>174</v>
      </c>
      <c r="C116" s="202">
        <v>44390.4042592593</v>
      </c>
      <c r="D116" s="202">
        <v>44390.4046064815</v>
      </c>
      <c r="E116" s="203" t="s">
        <v>316</v>
      </c>
      <c r="F116" s="204" t="s">
        <v>283</v>
      </c>
      <c r="G116" s="204">
        <v>1292</v>
      </c>
      <c r="H116" s="203" t="s">
        <v>261</v>
      </c>
      <c r="I116" s="204" t="s">
        <v>296</v>
      </c>
      <c r="J116" s="204" t="s">
        <v>297</v>
      </c>
      <c r="K116" s="204" t="s">
        <v>42</v>
      </c>
      <c r="L116" s="204" t="str">
        <f>VLOOKUP(K:K,供应商清单!$A:$B,2,0)</f>
        <v>众博</v>
      </c>
      <c r="M116" s="204" t="s">
        <v>298</v>
      </c>
      <c r="N116" s="204">
        <v>10001161298659</v>
      </c>
      <c r="O116" s="204">
        <v>71000121070163</v>
      </c>
      <c r="P116" s="206"/>
    </row>
    <row r="117" ht="14.25" spans="1:16">
      <c r="A117" s="200">
        <v>2468</v>
      </c>
      <c r="B117" s="201" t="s">
        <v>174</v>
      </c>
      <c r="C117" s="202">
        <v>44390.4042592593</v>
      </c>
      <c r="D117" s="202">
        <v>44390.4046064815</v>
      </c>
      <c r="E117" s="203" t="s">
        <v>314</v>
      </c>
      <c r="F117" s="204" t="s">
        <v>315</v>
      </c>
      <c r="G117" s="204">
        <v>147</v>
      </c>
      <c r="H117" s="203" t="s">
        <v>261</v>
      </c>
      <c r="I117" s="204" t="s">
        <v>296</v>
      </c>
      <c r="J117" s="204" t="s">
        <v>297</v>
      </c>
      <c r="K117" s="204" t="s">
        <v>42</v>
      </c>
      <c r="L117" s="204" t="str">
        <f>VLOOKUP(K:K,供应商清单!$A:$B,2,0)</f>
        <v>众博</v>
      </c>
      <c r="M117" s="204" t="s">
        <v>298</v>
      </c>
      <c r="N117" s="204">
        <v>10001161298660</v>
      </c>
      <c r="O117" s="204">
        <v>71000121052488</v>
      </c>
      <c r="P117" s="206"/>
    </row>
    <row r="118" ht="14.25" spans="1:16">
      <c r="A118" s="200">
        <v>2469</v>
      </c>
      <c r="B118" s="201" t="s">
        <v>174</v>
      </c>
      <c r="C118" s="202">
        <v>44390.4044097222</v>
      </c>
      <c r="D118" s="202">
        <v>44390.4046064815</v>
      </c>
      <c r="E118" s="203" t="s">
        <v>314</v>
      </c>
      <c r="F118" s="204" t="s">
        <v>315</v>
      </c>
      <c r="G118" s="204">
        <v>297</v>
      </c>
      <c r="H118" s="203" t="s">
        <v>261</v>
      </c>
      <c r="I118" s="204" t="s">
        <v>296</v>
      </c>
      <c r="J118" s="204" t="s">
        <v>297</v>
      </c>
      <c r="K118" s="204" t="s">
        <v>42</v>
      </c>
      <c r="L118" s="204" t="str">
        <f>VLOOKUP(K:K,供应商清单!$A:$B,2,0)</f>
        <v>众博</v>
      </c>
      <c r="M118" s="204" t="s">
        <v>298</v>
      </c>
      <c r="N118" s="204">
        <v>10001161298660</v>
      </c>
      <c r="O118" s="204">
        <v>71000121052488</v>
      </c>
      <c r="P118" s="206"/>
    </row>
    <row r="119" ht="14.25" spans="1:16">
      <c r="A119" s="200">
        <v>2470</v>
      </c>
      <c r="B119" s="201" t="s">
        <v>174</v>
      </c>
      <c r="C119" s="202">
        <v>44390.4044097222</v>
      </c>
      <c r="D119" s="202">
        <v>44390.4046064815</v>
      </c>
      <c r="E119" s="203" t="s">
        <v>314</v>
      </c>
      <c r="F119" s="204" t="s">
        <v>315</v>
      </c>
      <c r="G119" s="204">
        <v>538</v>
      </c>
      <c r="H119" s="203" t="s">
        <v>261</v>
      </c>
      <c r="I119" s="204" t="s">
        <v>296</v>
      </c>
      <c r="J119" s="204" t="s">
        <v>297</v>
      </c>
      <c r="K119" s="204" t="s">
        <v>42</v>
      </c>
      <c r="L119" s="204" t="str">
        <f>VLOOKUP(K:K,供应商清单!$A:$B,2,0)</f>
        <v>众博</v>
      </c>
      <c r="M119" s="204" t="s">
        <v>298</v>
      </c>
      <c r="N119" s="204">
        <v>10001161298660</v>
      </c>
      <c r="O119" s="204">
        <v>71000121051340</v>
      </c>
      <c r="P119" s="206"/>
    </row>
    <row r="120" ht="14.25" spans="1:16">
      <c r="A120" s="200">
        <v>2471</v>
      </c>
      <c r="B120" s="201" t="s">
        <v>174</v>
      </c>
      <c r="C120" s="202">
        <v>44390.4044097222</v>
      </c>
      <c r="D120" s="202">
        <v>44390.4046064815</v>
      </c>
      <c r="E120" s="203" t="s">
        <v>314</v>
      </c>
      <c r="F120" s="204" t="s">
        <v>315</v>
      </c>
      <c r="G120" s="204">
        <v>138</v>
      </c>
      <c r="H120" s="203" t="s">
        <v>261</v>
      </c>
      <c r="I120" s="204" t="s">
        <v>296</v>
      </c>
      <c r="J120" s="204" t="s">
        <v>297</v>
      </c>
      <c r="K120" s="204" t="s">
        <v>42</v>
      </c>
      <c r="L120" s="204" t="str">
        <f>VLOOKUP(K:K,供应商清单!$A:$B,2,0)</f>
        <v>众博</v>
      </c>
      <c r="M120" s="204" t="s">
        <v>298</v>
      </c>
      <c r="N120" s="204">
        <v>10001161298660</v>
      </c>
      <c r="O120" s="204">
        <v>71000121051340</v>
      </c>
      <c r="P120" s="206"/>
    </row>
    <row r="121" ht="14.25" spans="1:16">
      <c r="A121" s="200">
        <v>2472</v>
      </c>
      <c r="B121" s="201" t="s">
        <v>174</v>
      </c>
      <c r="C121" s="202">
        <v>44390.4044212963</v>
      </c>
      <c r="D121" s="202">
        <v>44390.4046064815</v>
      </c>
      <c r="E121" s="203" t="s">
        <v>317</v>
      </c>
      <c r="F121" s="204" t="s">
        <v>318</v>
      </c>
      <c r="G121" s="204">
        <v>1360</v>
      </c>
      <c r="H121" s="203" t="s">
        <v>261</v>
      </c>
      <c r="I121" s="204" t="s">
        <v>296</v>
      </c>
      <c r="J121" s="204" t="s">
        <v>297</v>
      </c>
      <c r="K121" s="204" t="s">
        <v>42</v>
      </c>
      <c r="L121" s="204" t="str">
        <f>VLOOKUP(K:K,供应商清单!$A:$B,2,0)</f>
        <v>众博</v>
      </c>
      <c r="M121" s="204" t="s">
        <v>298</v>
      </c>
      <c r="N121" s="204">
        <v>10001161298661</v>
      </c>
      <c r="O121" s="204">
        <v>71000121060024</v>
      </c>
      <c r="P121" s="206"/>
    </row>
    <row r="122" ht="14.25" spans="1:16">
      <c r="A122" s="200">
        <v>2473</v>
      </c>
      <c r="B122" s="201" t="s">
        <v>174</v>
      </c>
      <c r="C122" s="202">
        <v>44390.4044212963</v>
      </c>
      <c r="D122" s="202">
        <v>44390.4046180556</v>
      </c>
      <c r="E122" s="203" t="s">
        <v>330</v>
      </c>
      <c r="F122" s="204" t="s">
        <v>315</v>
      </c>
      <c r="G122" s="204">
        <v>84</v>
      </c>
      <c r="H122" s="203" t="s">
        <v>261</v>
      </c>
      <c r="I122" s="204" t="s">
        <v>296</v>
      </c>
      <c r="J122" s="204" t="s">
        <v>297</v>
      </c>
      <c r="K122" s="204" t="s">
        <v>38</v>
      </c>
      <c r="L122" s="204" t="str">
        <f>VLOOKUP(K:K,供应商清单!$A:$B,2,0)</f>
        <v>优云</v>
      </c>
      <c r="M122" s="204" t="s">
        <v>303</v>
      </c>
      <c r="N122" s="204">
        <v>10001161298712</v>
      </c>
      <c r="O122" s="204">
        <v>71000121061389</v>
      </c>
      <c r="P122" s="206"/>
    </row>
    <row r="123" ht="14.25" spans="1:16">
      <c r="A123" s="200">
        <v>2474</v>
      </c>
      <c r="B123" s="201" t="s">
        <v>174</v>
      </c>
      <c r="C123" s="202">
        <v>44390.4044212963</v>
      </c>
      <c r="D123" s="202">
        <v>44390.4046180556</v>
      </c>
      <c r="E123" s="203" t="s">
        <v>330</v>
      </c>
      <c r="F123" s="204" t="s">
        <v>315</v>
      </c>
      <c r="G123" s="204">
        <v>1200</v>
      </c>
      <c r="H123" s="203" t="s">
        <v>261</v>
      </c>
      <c r="I123" s="204" t="s">
        <v>296</v>
      </c>
      <c r="J123" s="204" t="s">
        <v>297</v>
      </c>
      <c r="K123" s="204" t="s">
        <v>38</v>
      </c>
      <c r="L123" s="204" t="str">
        <f>VLOOKUP(K:K,供应商清单!$A:$B,2,0)</f>
        <v>优云</v>
      </c>
      <c r="M123" s="204" t="s">
        <v>303</v>
      </c>
      <c r="N123" s="204">
        <v>10001161298715</v>
      </c>
      <c r="O123" s="204">
        <v>71000121061389</v>
      </c>
      <c r="P123" s="206"/>
    </row>
    <row r="124" ht="14.25" spans="1:16">
      <c r="A124" s="200">
        <v>2475</v>
      </c>
      <c r="B124" s="201" t="s">
        <v>174</v>
      </c>
      <c r="C124" s="202">
        <v>44390.4045023148</v>
      </c>
      <c r="D124" s="202">
        <v>44390.4046180556</v>
      </c>
      <c r="E124" s="203" t="s">
        <v>324</v>
      </c>
      <c r="F124" s="204" t="s">
        <v>220</v>
      </c>
      <c r="G124" s="204">
        <v>2040</v>
      </c>
      <c r="H124" s="203" t="s">
        <v>261</v>
      </c>
      <c r="I124" s="204" t="s">
        <v>296</v>
      </c>
      <c r="J124" s="204" t="s">
        <v>297</v>
      </c>
      <c r="K124" s="204" t="s">
        <v>38</v>
      </c>
      <c r="L124" s="204" t="str">
        <f>VLOOKUP(K:K,供应商清单!$A:$B,2,0)</f>
        <v>优云</v>
      </c>
      <c r="M124" s="204" t="s">
        <v>298</v>
      </c>
      <c r="N124" s="204">
        <v>10001161298717</v>
      </c>
      <c r="O124" s="204">
        <v>71000121052003</v>
      </c>
      <c r="P124" s="206"/>
    </row>
    <row r="125" ht="14.25" spans="1:16">
      <c r="A125" s="200">
        <v>2641</v>
      </c>
      <c r="B125" s="201" t="s">
        <v>174</v>
      </c>
      <c r="C125" s="202">
        <v>44379.8790393519</v>
      </c>
      <c r="D125" s="202">
        <v>44379.8792708333</v>
      </c>
      <c r="E125" s="203" t="s">
        <v>324</v>
      </c>
      <c r="F125" s="204" t="s">
        <v>220</v>
      </c>
      <c r="G125" s="204">
        <v>2400</v>
      </c>
      <c r="H125" s="203" t="s">
        <v>261</v>
      </c>
      <c r="I125" s="204" t="s">
        <v>296</v>
      </c>
      <c r="J125" s="204" t="s">
        <v>297</v>
      </c>
      <c r="K125" s="204" t="s">
        <v>38</v>
      </c>
      <c r="L125" s="204" t="str">
        <f>VLOOKUP(K:K,供应商清单!$A:$B,2,0)</f>
        <v>优云</v>
      </c>
      <c r="M125" s="204" t="s">
        <v>298</v>
      </c>
      <c r="N125" s="204">
        <v>10001161297475</v>
      </c>
      <c r="O125" s="204">
        <v>71000121052003</v>
      </c>
      <c r="P125" s="206"/>
    </row>
    <row r="126" ht="14.25" spans="1:16">
      <c r="A126" s="200">
        <v>2642</v>
      </c>
      <c r="B126" s="201" t="s">
        <v>174</v>
      </c>
      <c r="C126" s="202">
        <v>44379.8790393519</v>
      </c>
      <c r="D126" s="202">
        <v>44379.8792824074</v>
      </c>
      <c r="E126" s="203" t="s">
        <v>324</v>
      </c>
      <c r="F126" s="204" t="s">
        <v>220</v>
      </c>
      <c r="G126" s="204">
        <v>1600</v>
      </c>
      <c r="H126" s="203" t="s">
        <v>261</v>
      </c>
      <c r="I126" s="204" t="s">
        <v>296</v>
      </c>
      <c r="J126" s="204" t="s">
        <v>297</v>
      </c>
      <c r="K126" s="204" t="s">
        <v>38</v>
      </c>
      <c r="L126" s="204" t="str">
        <f>VLOOKUP(K:K,供应商清单!$A:$B,2,0)</f>
        <v>优云</v>
      </c>
      <c r="M126" s="204" t="s">
        <v>298</v>
      </c>
      <c r="N126" s="204">
        <v>10001161297476</v>
      </c>
      <c r="O126" s="204">
        <v>71000121052003</v>
      </c>
      <c r="P126" s="206"/>
    </row>
    <row r="127" ht="14.25" spans="1:16">
      <c r="A127" s="200">
        <v>2643</v>
      </c>
      <c r="B127" s="201" t="s">
        <v>174</v>
      </c>
      <c r="C127" s="202">
        <v>44379.8790393519</v>
      </c>
      <c r="D127" s="202">
        <v>44379.8792824074</v>
      </c>
      <c r="E127" s="203" t="s">
        <v>98</v>
      </c>
      <c r="F127" s="204" t="s">
        <v>220</v>
      </c>
      <c r="G127" s="204">
        <v>156</v>
      </c>
      <c r="H127" s="203" t="s">
        <v>261</v>
      </c>
      <c r="I127" s="204" t="s">
        <v>296</v>
      </c>
      <c r="J127" s="204" t="s">
        <v>297</v>
      </c>
      <c r="K127" s="204" t="s">
        <v>38</v>
      </c>
      <c r="L127" s="204" t="str">
        <f>VLOOKUP(K:K,供应商清单!$A:$B,2,0)</f>
        <v>优云</v>
      </c>
      <c r="M127" s="204" t="s">
        <v>176</v>
      </c>
      <c r="N127" s="204">
        <v>10001161297477</v>
      </c>
      <c r="O127" s="204">
        <v>71000121050637</v>
      </c>
      <c r="P127" s="206"/>
    </row>
    <row r="128" ht="14.25" spans="1:16">
      <c r="A128" s="200">
        <v>2644</v>
      </c>
      <c r="B128" s="201" t="s">
        <v>174</v>
      </c>
      <c r="C128" s="202">
        <v>44379.8790393519</v>
      </c>
      <c r="D128" s="202">
        <v>44379.8792824074</v>
      </c>
      <c r="E128" s="203" t="s">
        <v>98</v>
      </c>
      <c r="F128" s="204" t="s">
        <v>220</v>
      </c>
      <c r="G128" s="204">
        <v>751</v>
      </c>
      <c r="H128" s="203" t="s">
        <v>261</v>
      </c>
      <c r="I128" s="204" t="s">
        <v>296</v>
      </c>
      <c r="J128" s="204" t="s">
        <v>297</v>
      </c>
      <c r="K128" s="204" t="s">
        <v>38</v>
      </c>
      <c r="L128" s="204" t="str">
        <f>VLOOKUP(K:K,供应商清单!$A:$B,2,0)</f>
        <v>优云</v>
      </c>
      <c r="M128" s="204" t="s">
        <v>176</v>
      </c>
      <c r="N128" s="204">
        <v>10001161297477</v>
      </c>
      <c r="O128" s="204">
        <v>71000121050637</v>
      </c>
      <c r="P128" s="206"/>
    </row>
    <row r="129" ht="14.25" spans="1:16">
      <c r="A129" s="200">
        <v>2764</v>
      </c>
      <c r="B129" s="201" t="s">
        <v>174</v>
      </c>
      <c r="C129" s="202">
        <v>44388.6665046296</v>
      </c>
      <c r="D129" s="202">
        <v>44388.6667708333</v>
      </c>
      <c r="E129" s="203" t="s">
        <v>300</v>
      </c>
      <c r="F129" s="204" t="s">
        <v>220</v>
      </c>
      <c r="G129" s="204">
        <v>1000</v>
      </c>
      <c r="H129" s="203" t="s">
        <v>261</v>
      </c>
      <c r="I129" s="204" t="s">
        <v>296</v>
      </c>
      <c r="J129" s="204" t="s">
        <v>297</v>
      </c>
      <c r="K129" s="204" t="s">
        <v>40</v>
      </c>
      <c r="L129" s="204" t="str">
        <f>VLOOKUP(K:K,供应商清单!$A:$B,2,0)</f>
        <v>镒沣</v>
      </c>
      <c r="M129" s="204" t="s">
        <v>298</v>
      </c>
      <c r="N129" s="204">
        <v>10001161298566</v>
      </c>
      <c r="O129" s="204">
        <v>71000121052679</v>
      </c>
      <c r="P129" s="206"/>
    </row>
    <row r="130" ht="14.25" spans="1:16">
      <c r="A130" s="200">
        <v>2765</v>
      </c>
      <c r="B130" s="201" t="s">
        <v>174</v>
      </c>
      <c r="C130" s="202">
        <v>44388.6665046296</v>
      </c>
      <c r="D130" s="202">
        <v>44388.6667708333</v>
      </c>
      <c r="E130" s="203" t="s">
        <v>300</v>
      </c>
      <c r="F130" s="204" t="s">
        <v>220</v>
      </c>
      <c r="G130" s="204">
        <v>2400</v>
      </c>
      <c r="H130" s="203" t="s">
        <v>261</v>
      </c>
      <c r="I130" s="204" t="s">
        <v>296</v>
      </c>
      <c r="J130" s="204" t="s">
        <v>297</v>
      </c>
      <c r="K130" s="204" t="s">
        <v>40</v>
      </c>
      <c r="L130" s="204" t="str">
        <f>VLOOKUP(K:K,供应商清单!$A:$B,2,0)</f>
        <v>镒沣</v>
      </c>
      <c r="M130" s="204" t="s">
        <v>298</v>
      </c>
      <c r="N130" s="204">
        <v>10001161298566</v>
      </c>
      <c r="O130" s="204">
        <v>71000121052679</v>
      </c>
      <c r="P130" s="206"/>
    </row>
    <row r="131" ht="14.25" spans="1:16">
      <c r="A131" s="200">
        <v>2766</v>
      </c>
      <c r="B131" s="201" t="s">
        <v>174</v>
      </c>
      <c r="C131" s="202">
        <v>44388.6665046296</v>
      </c>
      <c r="D131" s="202">
        <v>44388.6667708333</v>
      </c>
      <c r="E131" s="203" t="s">
        <v>300</v>
      </c>
      <c r="F131" s="204" t="s">
        <v>220</v>
      </c>
      <c r="G131" s="204">
        <v>1600</v>
      </c>
      <c r="H131" s="203" t="s">
        <v>261</v>
      </c>
      <c r="I131" s="204" t="s">
        <v>296</v>
      </c>
      <c r="J131" s="204" t="s">
        <v>297</v>
      </c>
      <c r="K131" s="204" t="s">
        <v>40</v>
      </c>
      <c r="L131" s="204" t="str">
        <f>VLOOKUP(K:K,供应商清单!$A:$B,2,0)</f>
        <v>镒沣</v>
      </c>
      <c r="M131" s="204" t="s">
        <v>298</v>
      </c>
      <c r="N131" s="204">
        <v>10001161298566</v>
      </c>
      <c r="O131" s="204">
        <v>71000121052679</v>
      </c>
      <c r="P131" s="206"/>
    </row>
    <row r="132" ht="14.25" spans="1:16">
      <c r="A132" s="200">
        <v>2767</v>
      </c>
      <c r="B132" s="201" t="s">
        <v>174</v>
      </c>
      <c r="C132" s="202">
        <v>44388.6665046296</v>
      </c>
      <c r="D132" s="202">
        <v>44388.6667824074</v>
      </c>
      <c r="E132" s="203" t="s">
        <v>311</v>
      </c>
      <c r="F132" s="204" t="s">
        <v>229</v>
      </c>
      <c r="G132" s="204">
        <v>1800</v>
      </c>
      <c r="H132" s="203" t="s">
        <v>261</v>
      </c>
      <c r="I132" s="204" t="s">
        <v>296</v>
      </c>
      <c r="J132" s="204" t="s">
        <v>297</v>
      </c>
      <c r="K132" s="204" t="s">
        <v>40</v>
      </c>
      <c r="L132" s="204" t="str">
        <f>VLOOKUP(K:K,供应商清单!$A:$B,2,0)</f>
        <v>镒沣</v>
      </c>
      <c r="M132" s="204" t="s">
        <v>298</v>
      </c>
      <c r="N132" s="204">
        <v>10001161298567</v>
      </c>
      <c r="O132" s="204">
        <v>71000121052679</v>
      </c>
      <c r="P132" s="206"/>
    </row>
    <row r="133" ht="14.25" spans="1:16">
      <c r="A133" s="200">
        <v>2768</v>
      </c>
      <c r="B133" s="201" t="s">
        <v>174</v>
      </c>
      <c r="C133" s="202">
        <v>44388.6665046296</v>
      </c>
      <c r="D133" s="202">
        <v>44388.6667824074</v>
      </c>
      <c r="E133" s="203" t="s">
        <v>311</v>
      </c>
      <c r="F133" s="204" t="s">
        <v>229</v>
      </c>
      <c r="G133" s="204">
        <v>2900</v>
      </c>
      <c r="H133" s="203" t="s">
        <v>261</v>
      </c>
      <c r="I133" s="204" t="s">
        <v>296</v>
      </c>
      <c r="J133" s="204" t="s">
        <v>297</v>
      </c>
      <c r="K133" s="204" t="s">
        <v>40</v>
      </c>
      <c r="L133" s="204" t="str">
        <f>VLOOKUP(K:K,供应商清单!$A:$B,2,0)</f>
        <v>镒沣</v>
      </c>
      <c r="M133" s="204" t="s">
        <v>298</v>
      </c>
      <c r="N133" s="204">
        <v>10001161298568</v>
      </c>
      <c r="O133" s="204">
        <v>71000121052699</v>
      </c>
      <c r="P133" s="206"/>
    </row>
    <row r="134" ht="14.25" spans="1:16">
      <c r="A134" s="200">
        <v>2769</v>
      </c>
      <c r="B134" s="201" t="s">
        <v>174</v>
      </c>
      <c r="C134" s="202">
        <v>44388.6665046296</v>
      </c>
      <c r="D134" s="202">
        <v>44388.6667824074</v>
      </c>
      <c r="E134" s="203" t="s">
        <v>96</v>
      </c>
      <c r="F134" s="204" t="s">
        <v>220</v>
      </c>
      <c r="G134" s="204">
        <v>550</v>
      </c>
      <c r="H134" s="203" t="s">
        <v>261</v>
      </c>
      <c r="I134" s="204" t="s">
        <v>296</v>
      </c>
      <c r="J134" s="204" t="s">
        <v>297</v>
      </c>
      <c r="K134" s="204" t="s">
        <v>40</v>
      </c>
      <c r="L134" s="204" t="str">
        <f>VLOOKUP(K:K,供应商清单!$A:$B,2,0)</f>
        <v>镒沣</v>
      </c>
      <c r="M134" s="204" t="s">
        <v>176</v>
      </c>
      <c r="N134" s="204">
        <v>10001161298570</v>
      </c>
      <c r="O134" s="204">
        <v>71000121052002</v>
      </c>
      <c r="P134" s="206"/>
    </row>
    <row r="135" ht="14.25" spans="1:16">
      <c r="A135" s="200">
        <v>2770</v>
      </c>
      <c r="B135" s="201" t="s">
        <v>174</v>
      </c>
      <c r="C135" s="202">
        <v>44388.6665046296</v>
      </c>
      <c r="D135" s="202">
        <v>44388.6667824074</v>
      </c>
      <c r="E135" s="203" t="s">
        <v>95</v>
      </c>
      <c r="F135" s="204" t="s">
        <v>254</v>
      </c>
      <c r="G135" s="204">
        <v>3910</v>
      </c>
      <c r="H135" s="203" t="s">
        <v>261</v>
      </c>
      <c r="I135" s="204" t="s">
        <v>296</v>
      </c>
      <c r="J135" s="204" t="s">
        <v>297</v>
      </c>
      <c r="K135" s="204" t="s">
        <v>40</v>
      </c>
      <c r="L135" s="204" t="str">
        <f>VLOOKUP(K:K,供应商清单!$A:$B,2,0)</f>
        <v>镒沣</v>
      </c>
      <c r="M135" s="204" t="s">
        <v>176</v>
      </c>
      <c r="N135" s="204">
        <v>10001161298569</v>
      </c>
      <c r="O135" s="204">
        <v>71000121052002</v>
      </c>
      <c r="P135" s="206"/>
    </row>
    <row r="136" ht="14.25" spans="1:16">
      <c r="A136" s="200">
        <v>2928</v>
      </c>
      <c r="B136" s="201" t="s">
        <v>174</v>
      </c>
      <c r="C136" s="202">
        <v>44379.427337963</v>
      </c>
      <c r="D136" s="202">
        <v>44379.4275347222</v>
      </c>
      <c r="E136" s="203" t="s">
        <v>304</v>
      </c>
      <c r="F136" s="204" t="s">
        <v>229</v>
      </c>
      <c r="G136" s="204">
        <v>2140</v>
      </c>
      <c r="H136" s="203" t="s">
        <v>261</v>
      </c>
      <c r="I136" s="204" t="s">
        <v>296</v>
      </c>
      <c r="J136" s="204" t="s">
        <v>297</v>
      </c>
      <c r="K136" s="204" t="s">
        <v>45</v>
      </c>
      <c r="L136" s="204" t="str">
        <f>VLOOKUP(K:K,供应商清单!$A:$B,2,0)</f>
        <v>荣亿</v>
      </c>
      <c r="M136" s="204" t="s">
        <v>298</v>
      </c>
      <c r="N136" s="204">
        <v>10001161297384</v>
      </c>
      <c r="O136" s="204">
        <v>71000121052582</v>
      </c>
      <c r="P136" s="206"/>
    </row>
    <row r="137" ht="14.25" spans="1:16">
      <c r="A137" s="200">
        <v>3144</v>
      </c>
      <c r="B137" s="201" t="s">
        <v>174</v>
      </c>
      <c r="C137" s="202">
        <v>44391.5558680556</v>
      </c>
      <c r="D137" s="202">
        <v>44391.5560185185</v>
      </c>
      <c r="E137" s="203" t="s">
        <v>103</v>
      </c>
      <c r="F137" s="204" t="s">
        <v>220</v>
      </c>
      <c r="G137" s="204">
        <v>2660</v>
      </c>
      <c r="H137" s="203" t="s">
        <v>261</v>
      </c>
      <c r="I137" s="204" t="s">
        <v>296</v>
      </c>
      <c r="J137" s="204" t="s">
        <v>297</v>
      </c>
      <c r="K137" s="204" t="s">
        <v>18</v>
      </c>
      <c r="L137" s="204" t="str">
        <f>VLOOKUP(K:K,供应商清单!$A:$B,2,0)</f>
        <v>中扬</v>
      </c>
      <c r="M137" s="204" t="s">
        <v>176</v>
      </c>
      <c r="N137" s="204">
        <v>10001161298931</v>
      </c>
      <c r="O137" s="204">
        <v>71000121061165</v>
      </c>
      <c r="P137" s="206"/>
    </row>
    <row r="138" ht="14.25" spans="1:16">
      <c r="A138" s="200">
        <v>3145</v>
      </c>
      <c r="B138" s="201" t="s">
        <v>174</v>
      </c>
      <c r="C138" s="202">
        <v>44391.5558680556</v>
      </c>
      <c r="D138" s="202">
        <v>44391.5560300926</v>
      </c>
      <c r="E138" s="203" t="s">
        <v>69</v>
      </c>
      <c r="F138" s="204" t="s">
        <v>220</v>
      </c>
      <c r="G138" s="204">
        <v>1500</v>
      </c>
      <c r="H138" s="203" t="s">
        <v>261</v>
      </c>
      <c r="I138" s="204" t="s">
        <v>296</v>
      </c>
      <c r="J138" s="204" t="s">
        <v>297</v>
      </c>
      <c r="K138" s="204" t="s">
        <v>53</v>
      </c>
      <c r="L138" s="204" t="str">
        <f>VLOOKUP(K:K,供应商清单!$A:$B,2,0)</f>
        <v>东睿</v>
      </c>
      <c r="M138" s="204" t="s">
        <v>176</v>
      </c>
      <c r="N138" s="204">
        <v>10001161298929</v>
      </c>
      <c r="O138" s="204">
        <v>71000121062076</v>
      </c>
      <c r="P138" s="206"/>
    </row>
    <row r="139" ht="14.25" spans="1:16">
      <c r="A139" s="200">
        <v>3268</v>
      </c>
      <c r="B139" s="201" t="s">
        <v>174</v>
      </c>
      <c r="C139" s="202">
        <v>44390.6166666667</v>
      </c>
      <c r="D139" s="202">
        <v>44390.6170949074</v>
      </c>
      <c r="E139" s="203" t="s">
        <v>331</v>
      </c>
      <c r="F139" s="204" t="s">
        <v>220</v>
      </c>
      <c r="G139" s="204">
        <v>1138</v>
      </c>
      <c r="H139" s="203" t="s">
        <v>261</v>
      </c>
      <c r="I139" s="204" t="s">
        <v>296</v>
      </c>
      <c r="J139" s="204" t="s">
        <v>297</v>
      </c>
      <c r="K139" s="204" t="s">
        <v>45</v>
      </c>
      <c r="L139" s="204" t="str">
        <f>VLOOKUP(K:K,供应商清单!$A:$B,2,0)</f>
        <v>荣亿</v>
      </c>
      <c r="M139" s="204" t="s">
        <v>298</v>
      </c>
      <c r="N139" s="204">
        <v>10001161298836</v>
      </c>
      <c r="O139" s="204">
        <v>71000121070708</v>
      </c>
      <c r="P139" s="206"/>
    </row>
    <row r="140" ht="14.25" spans="1:16">
      <c r="A140" s="200">
        <v>3381</v>
      </c>
      <c r="B140" s="201" t="s">
        <v>174</v>
      </c>
      <c r="C140" s="202">
        <v>44393.3625347222</v>
      </c>
      <c r="D140" s="202">
        <v>44393.3635185185</v>
      </c>
      <c r="E140" s="203" t="s">
        <v>314</v>
      </c>
      <c r="F140" s="204" t="s">
        <v>315</v>
      </c>
      <c r="G140" s="204">
        <v>1114</v>
      </c>
      <c r="H140" s="203" t="s">
        <v>261</v>
      </c>
      <c r="I140" s="204" t="s">
        <v>296</v>
      </c>
      <c r="J140" s="204" t="s">
        <v>297</v>
      </c>
      <c r="K140" s="204" t="s">
        <v>42</v>
      </c>
      <c r="L140" s="204" t="str">
        <f>VLOOKUP(K:K,供应商清单!$A:$B,2,0)</f>
        <v>众博</v>
      </c>
      <c r="M140" s="204" t="s">
        <v>298</v>
      </c>
      <c r="N140" s="204">
        <v>10001161299201</v>
      </c>
      <c r="O140" s="204">
        <v>71000121051340</v>
      </c>
      <c r="P140" s="206"/>
    </row>
    <row r="141" ht="14.25" spans="1:16">
      <c r="A141" s="200">
        <v>3382</v>
      </c>
      <c r="B141" s="201" t="s">
        <v>174</v>
      </c>
      <c r="C141" s="202">
        <v>44393.3626041667</v>
      </c>
      <c r="D141" s="202">
        <v>44393.3635185185</v>
      </c>
      <c r="E141" s="203" t="s">
        <v>314</v>
      </c>
      <c r="F141" s="204" t="s">
        <v>315</v>
      </c>
      <c r="G141" s="204">
        <v>426</v>
      </c>
      <c r="H141" s="203" t="s">
        <v>261</v>
      </c>
      <c r="I141" s="204" t="s">
        <v>296</v>
      </c>
      <c r="J141" s="204" t="s">
        <v>297</v>
      </c>
      <c r="K141" s="204" t="s">
        <v>42</v>
      </c>
      <c r="L141" s="204" t="str">
        <f>VLOOKUP(K:K,供应商清单!$A:$B,2,0)</f>
        <v>众博</v>
      </c>
      <c r="M141" s="204" t="s">
        <v>298</v>
      </c>
      <c r="N141" s="204">
        <v>10001161299201</v>
      </c>
      <c r="O141" s="204">
        <v>71000121051340</v>
      </c>
      <c r="P141" s="206"/>
    </row>
    <row r="142" ht="14.25" spans="1:16">
      <c r="A142" s="200">
        <v>3383</v>
      </c>
      <c r="B142" s="201" t="s">
        <v>174</v>
      </c>
      <c r="C142" s="202">
        <v>44393.3627199074</v>
      </c>
      <c r="D142" s="202">
        <v>44393.3635185185</v>
      </c>
      <c r="E142" s="203" t="s">
        <v>317</v>
      </c>
      <c r="F142" s="204" t="s">
        <v>318</v>
      </c>
      <c r="G142" s="204">
        <v>1360</v>
      </c>
      <c r="H142" s="203" t="s">
        <v>261</v>
      </c>
      <c r="I142" s="204" t="s">
        <v>296</v>
      </c>
      <c r="J142" s="204" t="s">
        <v>297</v>
      </c>
      <c r="K142" s="204" t="s">
        <v>42</v>
      </c>
      <c r="L142" s="204" t="str">
        <f>VLOOKUP(K:K,供应商清单!$A:$B,2,0)</f>
        <v>众博</v>
      </c>
      <c r="M142" s="204" t="s">
        <v>298</v>
      </c>
      <c r="N142" s="204">
        <v>10001161299202</v>
      </c>
      <c r="O142" s="204">
        <v>71000121060024</v>
      </c>
      <c r="P142" s="206"/>
    </row>
    <row r="143" ht="14.25" spans="1:16">
      <c r="A143" s="200">
        <v>3384</v>
      </c>
      <c r="B143" s="201" t="s">
        <v>174</v>
      </c>
      <c r="C143" s="202">
        <v>44393.3627199074</v>
      </c>
      <c r="D143" s="202">
        <v>44393.3635185185</v>
      </c>
      <c r="E143" s="203" t="s">
        <v>314</v>
      </c>
      <c r="F143" s="204" t="s">
        <v>315</v>
      </c>
      <c r="G143" s="204">
        <v>482</v>
      </c>
      <c r="H143" s="203" t="s">
        <v>261</v>
      </c>
      <c r="I143" s="204" t="s">
        <v>296</v>
      </c>
      <c r="J143" s="204" t="s">
        <v>297</v>
      </c>
      <c r="K143" s="204" t="s">
        <v>42</v>
      </c>
      <c r="L143" s="204" t="str">
        <f>VLOOKUP(K:K,供应商清单!$A:$B,2,0)</f>
        <v>众博</v>
      </c>
      <c r="M143" s="204" t="s">
        <v>298</v>
      </c>
      <c r="N143" s="204">
        <v>10001161299204</v>
      </c>
      <c r="O143" s="204">
        <v>71000121051340</v>
      </c>
      <c r="P143" s="206"/>
    </row>
    <row r="144" ht="14.25" spans="1:16">
      <c r="A144" s="200">
        <v>3385</v>
      </c>
      <c r="B144" s="201" t="s">
        <v>174</v>
      </c>
      <c r="C144" s="202">
        <v>44393.3627199074</v>
      </c>
      <c r="D144" s="202">
        <v>44393.3635185185</v>
      </c>
      <c r="E144" s="203" t="s">
        <v>308</v>
      </c>
      <c r="F144" s="204" t="s">
        <v>309</v>
      </c>
      <c r="G144" s="204">
        <v>3072</v>
      </c>
      <c r="H144" s="203" t="s">
        <v>261</v>
      </c>
      <c r="I144" s="204" t="s">
        <v>296</v>
      </c>
      <c r="J144" s="204" t="s">
        <v>297</v>
      </c>
      <c r="K144" s="204" t="s">
        <v>42</v>
      </c>
      <c r="L144" s="204" t="str">
        <f>VLOOKUP(K:K,供应商清单!$A:$B,2,0)</f>
        <v>众博</v>
      </c>
      <c r="M144" s="204" t="s">
        <v>298</v>
      </c>
      <c r="N144" s="204">
        <v>10001161299203</v>
      </c>
      <c r="O144" s="204">
        <v>71000121051508</v>
      </c>
      <c r="P144" s="206"/>
    </row>
    <row r="145" ht="14.25" spans="1:16">
      <c r="A145" s="200">
        <v>3386</v>
      </c>
      <c r="B145" s="201" t="s">
        <v>174</v>
      </c>
      <c r="C145" s="202">
        <v>44393.3627199074</v>
      </c>
      <c r="D145" s="202">
        <v>44393.3635300926</v>
      </c>
      <c r="E145" s="203" t="s">
        <v>314</v>
      </c>
      <c r="F145" s="204" t="s">
        <v>315</v>
      </c>
      <c r="G145" s="204">
        <v>242</v>
      </c>
      <c r="H145" s="203" t="s">
        <v>261</v>
      </c>
      <c r="I145" s="204" t="s">
        <v>296</v>
      </c>
      <c r="J145" s="204" t="s">
        <v>297</v>
      </c>
      <c r="K145" s="204" t="s">
        <v>42</v>
      </c>
      <c r="L145" s="204" t="str">
        <f>VLOOKUP(K:K,供应商清单!$A:$B,2,0)</f>
        <v>众博</v>
      </c>
      <c r="M145" s="204" t="s">
        <v>298</v>
      </c>
      <c r="N145" s="204">
        <v>10001161299204</v>
      </c>
      <c r="O145" s="204">
        <v>71000121051340</v>
      </c>
      <c r="P145" s="206"/>
    </row>
    <row r="146" ht="14.25" spans="1:16">
      <c r="A146" s="200">
        <v>3387</v>
      </c>
      <c r="B146" s="201" t="s">
        <v>174</v>
      </c>
      <c r="C146" s="202">
        <v>44393.3627314815</v>
      </c>
      <c r="D146" s="202">
        <v>44393.3635300926</v>
      </c>
      <c r="E146" s="203" t="s">
        <v>314</v>
      </c>
      <c r="F146" s="204" t="s">
        <v>315</v>
      </c>
      <c r="G146" s="204">
        <v>1167</v>
      </c>
      <c r="H146" s="203" t="s">
        <v>261</v>
      </c>
      <c r="I146" s="204" t="s">
        <v>296</v>
      </c>
      <c r="J146" s="204" t="s">
        <v>297</v>
      </c>
      <c r="K146" s="204" t="s">
        <v>42</v>
      </c>
      <c r="L146" s="204" t="str">
        <f>VLOOKUP(K:K,供应商清单!$A:$B,2,0)</f>
        <v>众博</v>
      </c>
      <c r="M146" s="204" t="s">
        <v>298</v>
      </c>
      <c r="N146" s="204">
        <v>10001161299204</v>
      </c>
      <c r="O146" s="204">
        <v>71000121051340</v>
      </c>
      <c r="P146" s="206"/>
    </row>
    <row r="147" ht="14.25" spans="1:16">
      <c r="A147" s="200">
        <v>3388</v>
      </c>
      <c r="B147" s="201" t="s">
        <v>174</v>
      </c>
      <c r="C147" s="202">
        <v>44393.3628009259</v>
      </c>
      <c r="D147" s="202">
        <v>44393.3635300926</v>
      </c>
      <c r="E147" s="203" t="s">
        <v>314</v>
      </c>
      <c r="F147" s="204" t="s">
        <v>315</v>
      </c>
      <c r="G147" s="204">
        <v>209</v>
      </c>
      <c r="H147" s="203" t="s">
        <v>261</v>
      </c>
      <c r="I147" s="204" t="s">
        <v>296</v>
      </c>
      <c r="J147" s="204" t="s">
        <v>297</v>
      </c>
      <c r="K147" s="204" t="s">
        <v>42</v>
      </c>
      <c r="L147" s="204" t="str">
        <f>VLOOKUP(K:K,供应商清单!$A:$B,2,0)</f>
        <v>众博</v>
      </c>
      <c r="M147" s="204" t="s">
        <v>298</v>
      </c>
      <c r="N147" s="204">
        <v>10001161299204</v>
      </c>
      <c r="O147" s="204">
        <v>71000121051340</v>
      </c>
      <c r="P147" s="206"/>
    </row>
    <row r="148" ht="14.25" spans="1:16">
      <c r="A148" s="200">
        <v>3389</v>
      </c>
      <c r="B148" s="201" t="s">
        <v>174</v>
      </c>
      <c r="C148" s="202">
        <v>44393.3628125</v>
      </c>
      <c r="D148" s="202">
        <v>44393.3635300926</v>
      </c>
      <c r="E148" s="203" t="s">
        <v>317</v>
      </c>
      <c r="F148" s="204" t="s">
        <v>318</v>
      </c>
      <c r="G148" s="204">
        <v>1920</v>
      </c>
      <c r="H148" s="203" t="s">
        <v>261</v>
      </c>
      <c r="I148" s="204" t="s">
        <v>296</v>
      </c>
      <c r="J148" s="204" t="s">
        <v>297</v>
      </c>
      <c r="K148" s="204" t="s">
        <v>42</v>
      </c>
      <c r="L148" s="204" t="str">
        <f>VLOOKUP(K:K,供应商清单!$A:$B,2,0)</f>
        <v>众博</v>
      </c>
      <c r="M148" s="204" t="s">
        <v>298</v>
      </c>
      <c r="N148" s="204">
        <v>10001161299205</v>
      </c>
      <c r="O148" s="204">
        <v>71000121060024</v>
      </c>
      <c r="P148" s="206"/>
    </row>
    <row r="149" ht="14.25" spans="1:16">
      <c r="A149" s="200">
        <v>3532</v>
      </c>
      <c r="B149" s="201" t="s">
        <v>174</v>
      </c>
      <c r="C149" s="202">
        <v>44390.5929166667</v>
      </c>
      <c r="D149" s="202">
        <v>44390.5934953704</v>
      </c>
      <c r="E149" s="203" t="s">
        <v>311</v>
      </c>
      <c r="F149" s="204" t="s">
        <v>229</v>
      </c>
      <c r="G149" s="204">
        <v>5040</v>
      </c>
      <c r="H149" s="203" t="s">
        <v>261</v>
      </c>
      <c r="I149" s="204" t="s">
        <v>296</v>
      </c>
      <c r="J149" s="204" t="s">
        <v>297</v>
      </c>
      <c r="K149" s="204" t="s">
        <v>40</v>
      </c>
      <c r="L149" s="204" t="str">
        <f>VLOOKUP(K:K,供应商清单!$A:$B,2,0)</f>
        <v>镒沣</v>
      </c>
      <c r="M149" s="204" t="s">
        <v>298</v>
      </c>
      <c r="N149" s="204">
        <v>10001161298810</v>
      </c>
      <c r="O149" s="204">
        <v>71000121052699</v>
      </c>
      <c r="P149" s="206"/>
    </row>
    <row r="150" ht="14.25" spans="1:16">
      <c r="A150" s="200">
        <v>3533</v>
      </c>
      <c r="B150" s="201" t="s">
        <v>174</v>
      </c>
      <c r="C150" s="202">
        <v>44390.5929166667</v>
      </c>
      <c r="D150" s="202">
        <v>44390.5934953704</v>
      </c>
      <c r="E150" s="203" t="s">
        <v>300</v>
      </c>
      <c r="F150" s="204" t="s">
        <v>220</v>
      </c>
      <c r="G150" s="204">
        <v>1400</v>
      </c>
      <c r="H150" s="203" t="s">
        <v>261</v>
      </c>
      <c r="I150" s="204" t="s">
        <v>296</v>
      </c>
      <c r="J150" s="204" t="s">
        <v>297</v>
      </c>
      <c r="K150" s="204" t="s">
        <v>40</v>
      </c>
      <c r="L150" s="204" t="str">
        <f>VLOOKUP(K:K,供应商清单!$A:$B,2,0)</f>
        <v>镒沣</v>
      </c>
      <c r="M150" s="204" t="s">
        <v>298</v>
      </c>
      <c r="N150" s="204">
        <v>10001161298811</v>
      </c>
      <c r="O150" s="204">
        <v>71000121052679</v>
      </c>
      <c r="P150" s="206"/>
    </row>
    <row r="151" ht="14.25" spans="1:16">
      <c r="A151" s="200">
        <v>3534</v>
      </c>
      <c r="B151" s="201" t="s">
        <v>174</v>
      </c>
      <c r="C151" s="202">
        <v>44390.5929282407</v>
      </c>
      <c r="D151" s="202">
        <v>44390.5934953704</v>
      </c>
      <c r="E151" s="203" t="s">
        <v>300</v>
      </c>
      <c r="F151" s="204" t="s">
        <v>220</v>
      </c>
      <c r="G151" s="204">
        <v>3600</v>
      </c>
      <c r="H151" s="203" t="s">
        <v>261</v>
      </c>
      <c r="I151" s="204" t="s">
        <v>296</v>
      </c>
      <c r="J151" s="204" t="s">
        <v>297</v>
      </c>
      <c r="K151" s="204" t="s">
        <v>40</v>
      </c>
      <c r="L151" s="204" t="str">
        <f>VLOOKUP(K:K,供应商清单!$A:$B,2,0)</f>
        <v>镒沣</v>
      </c>
      <c r="M151" s="204" t="s">
        <v>298</v>
      </c>
      <c r="N151" s="204">
        <v>10001161298811</v>
      </c>
      <c r="O151" s="204">
        <v>71000121052679</v>
      </c>
      <c r="P151" s="206"/>
    </row>
    <row r="152" ht="14.25" spans="1:16">
      <c r="A152" s="200">
        <v>3536</v>
      </c>
      <c r="B152" s="201" t="s">
        <v>174</v>
      </c>
      <c r="C152" s="202">
        <v>44390.5929513889</v>
      </c>
      <c r="D152" s="202">
        <v>44390.5934953704</v>
      </c>
      <c r="E152" s="203" t="s">
        <v>325</v>
      </c>
      <c r="F152" s="204" t="s">
        <v>220</v>
      </c>
      <c r="G152" s="204">
        <v>1800</v>
      </c>
      <c r="H152" s="203" t="s">
        <v>261</v>
      </c>
      <c r="I152" s="204" t="s">
        <v>296</v>
      </c>
      <c r="J152" s="204" t="s">
        <v>297</v>
      </c>
      <c r="K152" s="204" t="s">
        <v>38</v>
      </c>
      <c r="L152" s="204" t="str">
        <f>VLOOKUP(K:K,供应商清单!$A:$B,2,0)</f>
        <v>优云</v>
      </c>
      <c r="M152" s="204" t="s">
        <v>298</v>
      </c>
      <c r="N152" s="204">
        <v>10001161298761</v>
      </c>
      <c r="O152" s="204">
        <v>71000121051894</v>
      </c>
      <c r="P152" s="206"/>
    </row>
    <row r="153" ht="14.25" spans="1:16">
      <c r="A153" s="200">
        <v>3537</v>
      </c>
      <c r="B153" s="201" t="s">
        <v>174</v>
      </c>
      <c r="C153" s="202">
        <v>44390.5930787037</v>
      </c>
      <c r="D153" s="202">
        <v>44390.5935069444</v>
      </c>
      <c r="E153" s="203" t="s">
        <v>98</v>
      </c>
      <c r="F153" s="204" t="s">
        <v>220</v>
      </c>
      <c r="G153" s="204">
        <v>155</v>
      </c>
      <c r="H153" s="203" t="s">
        <v>261</v>
      </c>
      <c r="I153" s="204" t="s">
        <v>296</v>
      </c>
      <c r="J153" s="204" t="s">
        <v>297</v>
      </c>
      <c r="K153" s="204" t="s">
        <v>38</v>
      </c>
      <c r="L153" s="204" t="str">
        <f>VLOOKUP(K:K,供应商清单!$A:$B,2,0)</f>
        <v>优云</v>
      </c>
      <c r="M153" s="204" t="s">
        <v>176</v>
      </c>
      <c r="N153" s="204">
        <v>10001161298759</v>
      </c>
      <c r="O153" s="204">
        <v>71000121050637</v>
      </c>
      <c r="P153" s="206"/>
    </row>
    <row r="154" ht="14.25" spans="1:16">
      <c r="A154" s="200">
        <v>3538</v>
      </c>
      <c r="B154" s="201" t="s">
        <v>174</v>
      </c>
      <c r="C154" s="202">
        <v>44390.5930787037</v>
      </c>
      <c r="D154" s="202">
        <v>44390.5935069444</v>
      </c>
      <c r="E154" s="203" t="s">
        <v>103</v>
      </c>
      <c r="F154" s="204" t="s">
        <v>220</v>
      </c>
      <c r="G154" s="204">
        <v>4020</v>
      </c>
      <c r="H154" s="203" t="s">
        <v>261</v>
      </c>
      <c r="I154" s="204" t="s">
        <v>296</v>
      </c>
      <c r="J154" s="204" t="s">
        <v>297</v>
      </c>
      <c r="K154" s="204" t="s">
        <v>18</v>
      </c>
      <c r="L154" s="204" t="str">
        <f>VLOOKUP(K:K,供应商清单!$A:$B,2,0)</f>
        <v>中扬</v>
      </c>
      <c r="M154" s="204" t="s">
        <v>176</v>
      </c>
      <c r="N154" s="204">
        <v>10001161298752</v>
      </c>
      <c r="O154" s="204">
        <v>71000121061165</v>
      </c>
      <c r="P154" s="206"/>
    </row>
    <row r="155" ht="14.25" spans="1:16">
      <c r="A155" s="200">
        <v>3539</v>
      </c>
      <c r="B155" s="201" t="s">
        <v>174</v>
      </c>
      <c r="C155" s="202">
        <v>44390.5930902778</v>
      </c>
      <c r="D155" s="202">
        <v>44390.5935069444</v>
      </c>
      <c r="E155" s="203" t="s">
        <v>69</v>
      </c>
      <c r="F155" s="204" t="s">
        <v>220</v>
      </c>
      <c r="G155" s="204">
        <v>1240</v>
      </c>
      <c r="H155" s="203" t="s">
        <v>261</v>
      </c>
      <c r="I155" s="204" t="s">
        <v>296</v>
      </c>
      <c r="J155" s="204" t="s">
        <v>297</v>
      </c>
      <c r="K155" s="204" t="s">
        <v>53</v>
      </c>
      <c r="L155" s="204" t="str">
        <f>VLOOKUP(K:K,供应商清单!$A:$B,2,0)</f>
        <v>东睿</v>
      </c>
      <c r="M155" s="204" t="s">
        <v>176</v>
      </c>
      <c r="N155" s="204">
        <v>10001161298751</v>
      </c>
      <c r="O155" s="204">
        <v>71000121062076</v>
      </c>
      <c r="P155" s="206"/>
    </row>
    <row r="156" ht="14.25" spans="1:16">
      <c r="A156" s="200">
        <v>3540</v>
      </c>
      <c r="B156" s="201" t="s">
        <v>174</v>
      </c>
      <c r="C156" s="202">
        <v>44390.5930902778</v>
      </c>
      <c r="D156" s="202">
        <v>44390.5935069444</v>
      </c>
      <c r="E156" s="203" t="s">
        <v>64</v>
      </c>
      <c r="F156" s="204" t="s">
        <v>263</v>
      </c>
      <c r="G156" s="204">
        <v>3460</v>
      </c>
      <c r="H156" s="203" t="s">
        <v>261</v>
      </c>
      <c r="I156" s="204" t="s">
        <v>296</v>
      </c>
      <c r="J156" s="204" t="s">
        <v>297</v>
      </c>
      <c r="K156" s="204" t="s">
        <v>51</v>
      </c>
      <c r="L156" s="204" t="str">
        <f>VLOOKUP(K:K,供应商清单!$A:$B,2,0)</f>
        <v>顶尖</v>
      </c>
      <c r="M156" s="204" t="s">
        <v>176</v>
      </c>
      <c r="N156" s="204">
        <v>10001161298750</v>
      </c>
      <c r="O156" s="204">
        <v>71000121061516</v>
      </c>
      <c r="P156" s="206"/>
    </row>
    <row r="157" ht="14.25" spans="1:16">
      <c r="A157" s="200">
        <v>3550</v>
      </c>
      <c r="B157" s="201" t="s">
        <v>174</v>
      </c>
      <c r="C157" s="202">
        <v>44390.6839351852</v>
      </c>
      <c r="D157" s="202">
        <v>44390.6846527778</v>
      </c>
      <c r="E157" s="203" t="s">
        <v>332</v>
      </c>
      <c r="F157" s="204" t="s">
        <v>220</v>
      </c>
      <c r="G157" s="204">
        <v>300</v>
      </c>
      <c r="H157" s="203" t="s">
        <v>261</v>
      </c>
      <c r="I157" s="204" t="s">
        <v>296</v>
      </c>
      <c r="J157" s="204" t="s">
        <v>297</v>
      </c>
      <c r="K157" s="204" t="s">
        <v>45</v>
      </c>
      <c r="L157" s="204" t="str">
        <f>VLOOKUP(K:K,供应商清单!$A:$B,2,0)</f>
        <v>荣亿</v>
      </c>
      <c r="M157" s="204" t="s">
        <v>298</v>
      </c>
      <c r="N157" s="204">
        <v>10001161298876</v>
      </c>
      <c r="O157" s="204">
        <v>71000121062090</v>
      </c>
      <c r="P157" s="206"/>
    </row>
    <row r="158" ht="14.25" spans="1:16">
      <c r="A158" s="200">
        <v>3551</v>
      </c>
      <c r="B158" s="201" t="s">
        <v>174</v>
      </c>
      <c r="C158" s="202">
        <v>44390.6839351852</v>
      </c>
      <c r="D158" s="202">
        <v>44390.6846527778</v>
      </c>
      <c r="E158" s="203" t="s">
        <v>332</v>
      </c>
      <c r="F158" s="204" t="s">
        <v>220</v>
      </c>
      <c r="G158" s="204">
        <v>1110</v>
      </c>
      <c r="H158" s="203" t="s">
        <v>261</v>
      </c>
      <c r="I158" s="204" t="s">
        <v>296</v>
      </c>
      <c r="J158" s="204" t="s">
        <v>297</v>
      </c>
      <c r="K158" s="204" t="s">
        <v>45</v>
      </c>
      <c r="L158" s="204" t="str">
        <f>VLOOKUP(K:K,供应商清单!$A:$B,2,0)</f>
        <v>荣亿</v>
      </c>
      <c r="M158" s="204" t="s">
        <v>298</v>
      </c>
      <c r="N158" s="204">
        <v>10001161298876</v>
      </c>
      <c r="O158" s="204">
        <v>71000121061492</v>
      </c>
      <c r="P158" s="206"/>
    </row>
    <row r="159" ht="14.25" spans="1:16">
      <c r="A159" s="200">
        <v>3562</v>
      </c>
      <c r="B159" s="201" t="s">
        <v>174</v>
      </c>
      <c r="C159" s="202">
        <v>44386.3567939815</v>
      </c>
      <c r="D159" s="202">
        <v>44386.357025463</v>
      </c>
      <c r="E159" s="203" t="s">
        <v>317</v>
      </c>
      <c r="F159" s="204" t="s">
        <v>318</v>
      </c>
      <c r="G159" s="204">
        <v>667</v>
      </c>
      <c r="H159" s="203" t="s">
        <v>261</v>
      </c>
      <c r="I159" s="204" t="s">
        <v>296</v>
      </c>
      <c r="J159" s="204" t="s">
        <v>297</v>
      </c>
      <c r="K159" s="204" t="s">
        <v>42</v>
      </c>
      <c r="L159" s="204" t="str">
        <f>VLOOKUP(K:K,供应商清单!$A:$B,2,0)</f>
        <v>众博</v>
      </c>
      <c r="M159" s="204" t="s">
        <v>298</v>
      </c>
      <c r="N159" s="204">
        <v>10001161298234</v>
      </c>
      <c r="O159" s="204">
        <v>71000121052607</v>
      </c>
      <c r="P159" s="206"/>
    </row>
    <row r="160" ht="14.25" spans="1:16">
      <c r="A160" s="200">
        <v>3563</v>
      </c>
      <c r="B160" s="201" t="s">
        <v>174</v>
      </c>
      <c r="C160" s="202">
        <v>44386.3568518519</v>
      </c>
      <c r="D160" s="202">
        <v>44386.357025463</v>
      </c>
      <c r="E160" s="203" t="s">
        <v>317</v>
      </c>
      <c r="F160" s="204" t="s">
        <v>318</v>
      </c>
      <c r="G160" s="204">
        <v>1500</v>
      </c>
      <c r="H160" s="203" t="s">
        <v>261</v>
      </c>
      <c r="I160" s="204" t="s">
        <v>296</v>
      </c>
      <c r="J160" s="204" t="s">
        <v>297</v>
      </c>
      <c r="K160" s="204" t="s">
        <v>42</v>
      </c>
      <c r="L160" s="204" t="str">
        <f>VLOOKUP(K:K,供应商清单!$A:$B,2,0)</f>
        <v>众博</v>
      </c>
      <c r="M160" s="204" t="s">
        <v>298</v>
      </c>
      <c r="N160" s="204">
        <v>10001161298235</v>
      </c>
      <c r="O160" s="204">
        <v>71000121060024</v>
      </c>
      <c r="P160" s="206"/>
    </row>
    <row r="161" ht="14.25" spans="1:16">
      <c r="A161" s="200">
        <v>3564</v>
      </c>
      <c r="B161" s="201" t="s">
        <v>174</v>
      </c>
      <c r="C161" s="202">
        <v>44386.3568518519</v>
      </c>
      <c r="D161" s="202">
        <v>44386.357025463</v>
      </c>
      <c r="E161" s="203" t="s">
        <v>317</v>
      </c>
      <c r="F161" s="204" t="s">
        <v>318</v>
      </c>
      <c r="G161" s="204">
        <v>100</v>
      </c>
      <c r="H161" s="203" t="s">
        <v>261</v>
      </c>
      <c r="I161" s="204" t="s">
        <v>296</v>
      </c>
      <c r="J161" s="204" t="s">
        <v>297</v>
      </c>
      <c r="K161" s="204" t="s">
        <v>42</v>
      </c>
      <c r="L161" s="204" t="str">
        <f>VLOOKUP(K:K,供应商清单!$A:$B,2,0)</f>
        <v>众博</v>
      </c>
      <c r="M161" s="204" t="s">
        <v>298</v>
      </c>
      <c r="N161" s="204">
        <v>10001161298235</v>
      </c>
      <c r="O161" s="204">
        <v>71000121052607</v>
      </c>
      <c r="P161" s="206"/>
    </row>
    <row r="162" ht="14.25" spans="1:16">
      <c r="A162" s="200">
        <v>3565</v>
      </c>
      <c r="B162" s="201" t="s">
        <v>174</v>
      </c>
      <c r="C162" s="202">
        <v>44386.3568518519</v>
      </c>
      <c r="D162" s="202">
        <v>44386.357025463</v>
      </c>
      <c r="E162" s="203" t="s">
        <v>322</v>
      </c>
      <c r="F162" s="204" t="s">
        <v>323</v>
      </c>
      <c r="G162" s="204">
        <v>1200</v>
      </c>
      <c r="H162" s="203" t="s">
        <v>261</v>
      </c>
      <c r="I162" s="204" t="s">
        <v>296</v>
      </c>
      <c r="J162" s="204" t="s">
        <v>297</v>
      </c>
      <c r="K162" s="204" t="s">
        <v>42</v>
      </c>
      <c r="L162" s="204" t="str">
        <f>VLOOKUP(K:K,供应商清单!$A:$B,2,0)</f>
        <v>众博</v>
      </c>
      <c r="M162" s="204" t="s">
        <v>298</v>
      </c>
      <c r="N162" s="204">
        <v>10001161298236</v>
      </c>
      <c r="O162" s="204">
        <v>71000121050312</v>
      </c>
      <c r="P162" s="206"/>
    </row>
    <row r="163" ht="14.25" spans="1:16">
      <c r="A163" s="200">
        <v>3566</v>
      </c>
      <c r="B163" s="201" t="s">
        <v>174</v>
      </c>
      <c r="C163" s="202">
        <v>44386.3568518519</v>
      </c>
      <c r="D163" s="202">
        <v>44386.357037037</v>
      </c>
      <c r="E163" s="203" t="s">
        <v>321</v>
      </c>
      <c r="F163" s="204" t="s">
        <v>318</v>
      </c>
      <c r="G163" s="204">
        <v>79</v>
      </c>
      <c r="H163" s="203" t="s">
        <v>261</v>
      </c>
      <c r="I163" s="204" t="s">
        <v>296</v>
      </c>
      <c r="J163" s="204" t="s">
        <v>297</v>
      </c>
      <c r="K163" s="204" t="s">
        <v>42</v>
      </c>
      <c r="L163" s="204" t="str">
        <f>VLOOKUP(K:K,供应商清单!$A:$B,2,0)</f>
        <v>众博</v>
      </c>
      <c r="M163" s="204" t="s">
        <v>298</v>
      </c>
      <c r="N163" s="204">
        <v>10001161298237</v>
      </c>
      <c r="O163" s="204">
        <v>71000121051930</v>
      </c>
      <c r="P163" s="206"/>
    </row>
    <row r="164" ht="14.25" spans="1:16">
      <c r="A164" s="200">
        <v>3567</v>
      </c>
      <c r="B164" s="201" t="s">
        <v>174</v>
      </c>
      <c r="C164" s="202">
        <v>44386.3568634259</v>
      </c>
      <c r="D164" s="202">
        <v>44386.357037037</v>
      </c>
      <c r="E164" s="203" t="s">
        <v>321</v>
      </c>
      <c r="F164" s="204" t="s">
        <v>318</v>
      </c>
      <c r="G164" s="204">
        <v>574</v>
      </c>
      <c r="H164" s="203" t="s">
        <v>261</v>
      </c>
      <c r="I164" s="204" t="s">
        <v>296</v>
      </c>
      <c r="J164" s="204" t="s">
        <v>297</v>
      </c>
      <c r="K164" s="204" t="s">
        <v>42</v>
      </c>
      <c r="L164" s="204" t="str">
        <f>VLOOKUP(K:K,供应商清单!$A:$B,2,0)</f>
        <v>众博</v>
      </c>
      <c r="M164" s="204" t="s">
        <v>298</v>
      </c>
      <c r="N164" s="204">
        <v>10001161298237</v>
      </c>
      <c r="O164" s="204">
        <v>71000121051930</v>
      </c>
      <c r="P164" s="206"/>
    </row>
    <row r="165" ht="14.25" spans="1:16">
      <c r="A165" s="200">
        <v>3568</v>
      </c>
      <c r="B165" s="201" t="s">
        <v>174</v>
      </c>
      <c r="C165" s="202">
        <v>44386.3568634259</v>
      </c>
      <c r="D165" s="202">
        <v>44386.357037037</v>
      </c>
      <c r="E165" s="203" t="s">
        <v>321</v>
      </c>
      <c r="F165" s="204" t="s">
        <v>318</v>
      </c>
      <c r="G165" s="204">
        <v>136</v>
      </c>
      <c r="H165" s="203" t="s">
        <v>261</v>
      </c>
      <c r="I165" s="204" t="s">
        <v>296</v>
      </c>
      <c r="J165" s="204" t="s">
        <v>297</v>
      </c>
      <c r="K165" s="204" t="s">
        <v>42</v>
      </c>
      <c r="L165" s="204" t="str">
        <f>VLOOKUP(K:K,供应商清单!$A:$B,2,0)</f>
        <v>众博</v>
      </c>
      <c r="M165" s="204" t="s">
        <v>298</v>
      </c>
      <c r="N165" s="204">
        <v>10001161298237</v>
      </c>
      <c r="O165" s="204">
        <v>71000121051930</v>
      </c>
      <c r="P165" s="206"/>
    </row>
    <row r="166" ht="14.25" spans="1:16">
      <c r="A166" s="200">
        <v>3569</v>
      </c>
      <c r="B166" s="201" t="s">
        <v>174</v>
      </c>
      <c r="C166" s="202">
        <v>44386.3569328704</v>
      </c>
      <c r="D166" s="202">
        <v>44386.357037037</v>
      </c>
      <c r="E166" s="203" t="s">
        <v>321</v>
      </c>
      <c r="F166" s="204" t="s">
        <v>318</v>
      </c>
      <c r="G166" s="204">
        <v>337</v>
      </c>
      <c r="H166" s="203" t="s">
        <v>261</v>
      </c>
      <c r="I166" s="204" t="s">
        <v>296</v>
      </c>
      <c r="J166" s="204" t="s">
        <v>297</v>
      </c>
      <c r="K166" s="204" t="s">
        <v>42</v>
      </c>
      <c r="L166" s="204" t="str">
        <f>VLOOKUP(K:K,供应商清单!$A:$B,2,0)</f>
        <v>众博</v>
      </c>
      <c r="M166" s="204" t="s">
        <v>298</v>
      </c>
      <c r="N166" s="204">
        <v>10001161298237</v>
      </c>
      <c r="O166" s="204">
        <v>71000121051930</v>
      </c>
      <c r="P166" s="206"/>
    </row>
    <row r="167" ht="14.25" spans="1:16">
      <c r="A167" s="200">
        <v>3570</v>
      </c>
      <c r="B167" s="201" t="s">
        <v>174</v>
      </c>
      <c r="C167" s="202">
        <v>44386.3569328704</v>
      </c>
      <c r="D167" s="202">
        <v>44386.357037037</v>
      </c>
      <c r="E167" s="203" t="s">
        <v>321</v>
      </c>
      <c r="F167" s="204" t="s">
        <v>318</v>
      </c>
      <c r="G167" s="204">
        <v>374</v>
      </c>
      <c r="H167" s="203" t="s">
        <v>261</v>
      </c>
      <c r="I167" s="204" t="s">
        <v>296</v>
      </c>
      <c r="J167" s="204" t="s">
        <v>297</v>
      </c>
      <c r="K167" s="204" t="s">
        <v>42</v>
      </c>
      <c r="L167" s="204" t="str">
        <f>VLOOKUP(K:K,供应商清单!$A:$B,2,0)</f>
        <v>众博</v>
      </c>
      <c r="M167" s="204" t="s">
        <v>298</v>
      </c>
      <c r="N167" s="204">
        <v>10001161298237</v>
      </c>
      <c r="O167" s="204">
        <v>71000121051930</v>
      </c>
      <c r="P167" s="206"/>
    </row>
    <row r="168" ht="14.25" spans="1:16">
      <c r="A168" s="200">
        <v>3921</v>
      </c>
      <c r="B168" s="201" t="s">
        <v>174</v>
      </c>
      <c r="C168" s="202">
        <v>44384.338599537</v>
      </c>
      <c r="D168" s="202">
        <v>44384.3388310185</v>
      </c>
      <c r="E168" s="203" t="s">
        <v>64</v>
      </c>
      <c r="F168" s="204" t="s">
        <v>263</v>
      </c>
      <c r="G168" s="204">
        <v>1000</v>
      </c>
      <c r="H168" s="203" t="s">
        <v>261</v>
      </c>
      <c r="I168" s="204" t="s">
        <v>296</v>
      </c>
      <c r="J168" s="204" t="s">
        <v>297</v>
      </c>
      <c r="K168" s="204" t="s">
        <v>51</v>
      </c>
      <c r="L168" s="204" t="str">
        <f>VLOOKUP(K:K,供应商清单!$A:$B,2,0)</f>
        <v>顶尖</v>
      </c>
      <c r="M168" s="204" t="s">
        <v>176</v>
      </c>
      <c r="N168" s="204">
        <v>10001161297914</v>
      </c>
      <c r="O168" s="204">
        <v>71000121061163</v>
      </c>
      <c r="P168" s="206"/>
    </row>
    <row r="169" ht="14.25" spans="1:16">
      <c r="A169" s="200">
        <v>3922</v>
      </c>
      <c r="B169" s="201" t="s">
        <v>174</v>
      </c>
      <c r="C169" s="202">
        <v>44384.338599537</v>
      </c>
      <c r="D169" s="202">
        <v>44384.3388310185</v>
      </c>
      <c r="E169" s="203" t="s">
        <v>64</v>
      </c>
      <c r="F169" s="204" t="s">
        <v>263</v>
      </c>
      <c r="G169" s="204">
        <v>2000</v>
      </c>
      <c r="H169" s="203" t="s">
        <v>261</v>
      </c>
      <c r="I169" s="204" t="s">
        <v>296</v>
      </c>
      <c r="J169" s="204" t="s">
        <v>297</v>
      </c>
      <c r="K169" s="204" t="s">
        <v>51</v>
      </c>
      <c r="L169" s="204" t="str">
        <f>VLOOKUP(K:K,供应商清单!$A:$B,2,0)</f>
        <v>顶尖</v>
      </c>
      <c r="M169" s="204" t="s">
        <v>176</v>
      </c>
      <c r="N169" s="204">
        <v>10001161297915</v>
      </c>
      <c r="O169" s="204">
        <v>71000121061163</v>
      </c>
      <c r="P169" s="206"/>
    </row>
    <row r="170" ht="14.25" spans="1:16">
      <c r="A170" s="200">
        <v>4087</v>
      </c>
      <c r="B170" s="201" t="s">
        <v>174</v>
      </c>
      <c r="C170" s="202">
        <v>44380.6072106482</v>
      </c>
      <c r="D170" s="202">
        <v>44380.6074652778</v>
      </c>
      <c r="E170" s="203" t="s">
        <v>96</v>
      </c>
      <c r="F170" s="204" t="s">
        <v>220</v>
      </c>
      <c r="G170" s="204">
        <v>2279</v>
      </c>
      <c r="H170" s="203" t="s">
        <v>261</v>
      </c>
      <c r="I170" s="204" t="s">
        <v>296</v>
      </c>
      <c r="J170" s="204" t="s">
        <v>297</v>
      </c>
      <c r="K170" s="204" t="s">
        <v>40</v>
      </c>
      <c r="L170" s="204" t="str">
        <f>VLOOKUP(K:K,供应商清单!$A:$B,2,0)</f>
        <v>镒沣</v>
      </c>
      <c r="M170" s="204" t="s">
        <v>176</v>
      </c>
      <c r="N170" s="204">
        <v>10001161297279</v>
      </c>
      <c r="O170" s="204">
        <v>71000121052002</v>
      </c>
      <c r="P170" s="206"/>
    </row>
    <row r="171" ht="14.25" spans="1:16">
      <c r="A171" s="200">
        <v>4100</v>
      </c>
      <c r="B171" s="201" t="s">
        <v>174</v>
      </c>
      <c r="C171" s="202">
        <v>44382.8289351852</v>
      </c>
      <c r="D171" s="202">
        <v>44382.8299768519</v>
      </c>
      <c r="E171" s="203" t="s">
        <v>64</v>
      </c>
      <c r="F171" s="204" t="s">
        <v>263</v>
      </c>
      <c r="G171" s="204">
        <v>1540</v>
      </c>
      <c r="H171" s="203" t="s">
        <v>261</v>
      </c>
      <c r="I171" s="204" t="s">
        <v>296</v>
      </c>
      <c r="J171" s="204" t="s">
        <v>297</v>
      </c>
      <c r="K171" s="204" t="s">
        <v>51</v>
      </c>
      <c r="L171" s="204" t="str">
        <f>VLOOKUP(K:K,供应商清单!$A:$B,2,0)</f>
        <v>顶尖</v>
      </c>
      <c r="M171" s="204" t="s">
        <v>176</v>
      </c>
      <c r="N171" s="204">
        <v>10001161297753</v>
      </c>
      <c r="O171" s="204">
        <v>71000121061163</v>
      </c>
      <c r="P171" s="206"/>
    </row>
    <row r="172" ht="14.25" spans="1:16">
      <c r="A172" s="200">
        <v>4101</v>
      </c>
      <c r="B172" s="201" t="s">
        <v>174</v>
      </c>
      <c r="C172" s="202">
        <v>44382.8289351852</v>
      </c>
      <c r="D172" s="202">
        <v>44382.8299884259</v>
      </c>
      <c r="E172" s="203" t="s">
        <v>67</v>
      </c>
      <c r="F172" s="204" t="s">
        <v>270</v>
      </c>
      <c r="G172" s="204">
        <v>300</v>
      </c>
      <c r="H172" s="203" t="s">
        <v>261</v>
      </c>
      <c r="I172" s="204" t="s">
        <v>296</v>
      </c>
      <c r="J172" s="204" t="s">
        <v>297</v>
      </c>
      <c r="K172" s="204" t="s">
        <v>53</v>
      </c>
      <c r="L172" s="204" t="str">
        <f>VLOOKUP(K:K,供应商清单!$A:$B,2,0)</f>
        <v>东睿</v>
      </c>
      <c r="M172" s="204" t="s">
        <v>176</v>
      </c>
      <c r="N172" s="204">
        <v>10001161297752</v>
      </c>
      <c r="O172" s="204">
        <v>71000121062076</v>
      </c>
      <c r="P172" s="206"/>
    </row>
    <row r="173" ht="14.25" spans="1:16">
      <c r="A173" s="200">
        <v>4102</v>
      </c>
      <c r="B173" s="201" t="s">
        <v>174</v>
      </c>
      <c r="C173" s="202">
        <v>44382.8289351852</v>
      </c>
      <c r="D173" s="202">
        <v>44382.8299884259</v>
      </c>
      <c r="E173" s="203" t="s">
        <v>69</v>
      </c>
      <c r="F173" s="204" t="s">
        <v>220</v>
      </c>
      <c r="G173" s="204">
        <v>1880</v>
      </c>
      <c r="H173" s="203" t="s">
        <v>261</v>
      </c>
      <c r="I173" s="204" t="s">
        <v>296</v>
      </c>
      <c r="J173" s="204" t="s">
        <v>297</v>
      </c>
      <c r="K173" s="204" t="s">
        <v>53</v>
      </c>
      <c r="L173" s="204" t="str">
        <f>VLOOKUP(K:K,供应商清单!$A:$B,2,0)</f>
        <v>东睿</v>
      </c>
      <c r="M173" s="204" t="s">
        <v>176</v>
      </c>
      <c r="N173" s="204">
        <v>10001161297751</v>
      </c>
      <c r="O173" s="204">
        <v>71000121062076</v>
      </c>
      <c r="P173" s="206"/>
    </row>
    <row r="174" ht="14.25" spans="1:16">
      <c r="A174" s="200">
        <v>4103</v>
      </c>
      <c r="B174" s="201" t="s">
        <v>174</v>
      </c>
      <c r="C174" s="202">
        <v>44382.8289351852</v>
      </c>
      <c r="D174" s="202">
        <v>44382.8299884259</v>
      </c>
      <c r="E174" s="203" t="s">
        <v>72</v>
      </c>
      <c r="F174" s="204" t="s">
        <v>220</v>
      </c>
      <c r="G174" s="204">
        <v>1300</v>
      </c>
      <c r="H174" s="203" t="s">
        <v>261</v>
      </c>
      <c r="I174" s="204" t="s">
        <v>296</v>
      </c>
      <c r="J174" s="204" t="s">
        <v>297</v>
      </c>
      <c r="K174" s="204" t="s">
        <v>30</v>
      </c>
      <c r="L174" s="204" t="str">
        <f>VLOOKUP(K:K,供应商清单!$A:$B,2,0)</f>
        <v>翰森</v>
      </c>
      <c r="M174" s="204" t="s">
        <v>176</v>
      </c>
      <c r="N174" s="204">
        <v>10001161297750</v>
      </c>
      <c r="O174" s="204">
        <v>71000121060019</v>
      </c>
      <c r="P174" s="206"/>
    </row>
    <row r="175" ht="14.25" spans="1:16">
      <c r="A175" s="200">
        <v>4104</v>
      </c>
      <c r="B175" s="201" t="s">
        <v>174</v>
      </c>
      <c r="C175" s="202">
        <v>44382.8289351852</v>
      </c>
      <c r="D175" s="202">
        <v>44382.8299884259</v>
      </c>
      <c r="E175" s="203" t="s">
        <v>72</v>
      </c>
      <c r="F175" s="204" t="s">
        <v>220</v>
      </c>
      <c r="G175" s="204">
        <v>68</v>
      </c>
      <c r="H175" s="203" t="s">
        <v>261</v>
      </c>
      <c r="I175" s="204" t="s">
        <v>296</v>
      </c>
      <c r="J175" s="204" t="s">
        <v>297</v>
      </c>
      <c r="K175" s="204" t="s">
        <v>30</v>
      </c>
      <c r="L175" s="204" t="str">
        <f>VLOOKUP(K:K,供应商清单!$A:$B,2,0)</f>
        <v>翰森</v>
      </c>
      <c r="M175" s="204" t="s">
        <v>176</v>
      </c>
      <c r="N175" s="204">
        <v>10001161297750</v>
      </c>
      <c r="O175" s="204">
        <v>71000121060019</v>
      </c>
      <c r="P175" s="206"/>
    </row>
    <row r="176" ht="14.25" spans="1:16">
      <c r="A176" s="200">
        <v>4105</v>
      </c>
      <c r="B176" s="201" t="s">
        <v>174</v>
      </c>
      <c r="C176" s="202">
        <v>44382.8289351852</v>
      </c>
      <c r="D176" s="202">
        <v>44382.8299884259</v>
      </c>
      <c r="E176" s="203" t="s">
        <v>72</v>
      </c>
      <c r="F176" s="204" t="s">
        <v>220</v>
      </c>
      <c r="G176" s="204">
        <v>1612</v>
      </c>
      <c r="H176" s="203" t="s">
        <v>261</v>
      </c>
      <c r="I176" s="204" t="s">
        <v>296</v>
      </c>
      <c r="J176" s="204" t="s">
        <v>297</v>
      </c>
      <c r="K176" s="204" t="s">
        <v>30</v>
      </c>
      <c r="L176" s="204" t="str">
        <f>VLOOKUP(K:K,供应商清单!$A:$B,2,0)</f>
        <v>翰森</v>
      </c>
      <c r="M176" s="204" t="s">
        <v>176</v>
      </c>
      <c r="N176" s="204">
        <v>10001161297750</v>
      </c>
      <c r="O176" s="204">
        <v>71000121060019</v>
      </c>
      <c r="P176" s="206"/>
    </row>
    <row r="177" ht="14.25" spans="1:16">
      <c r="A177" s="200">
        <v>4106</v>
      </c>
      <c r="B177" s="201" t="s">
        <v>174</v>
      </c>
      <c r="C177" s="202">
        <v>44382.8289351852</v>
      </c>
      <c r="D177" s="202">
        <v>44382.8299884259</v>
      </c>
      <c r="E177" s="203" t="s">
        <v>99</v>
      </c>
      <c r="F177" s="204" t="s">
        <v>268</v>
      </c>
      <c r="G177" s="204">
        <v>8514</v>
      </c>
      <c r="H177" s="203" t="s">
        <v>261</v>
      </c>
      <c r="I177" s="204" t="s">
        <v>296</v>
      </c>
      <c r="J177" s="204" t="s">
        <v>297</v>
      </c>
      <c r="K177" s="204" t="s">
        <v>21</v>
      </c>
      <c r="L177" s="204" t="str">
        <f>VLOOKUP(K:K,供应商清单!$A:$B,2,0)</f>
        <v>中雅</v>
      </c>
      <c r="M177" s="204" t="s">
        <v>176</v>
      </c>
      <c r="N177" s="204">
        <v>10001161297749</v>
      </c>
      <c r="O177" s="204">
        <v>71000121052001</v>
      </c>
      <c r="P177" s="206"/>
    </row>
    <row r="178" ht="14.25" spans="1:16">
      <c r="A178" s="200">
        <v>4129</v>
      </c>
      <c r="B178" s="201" t="s">
        <v>174</v>
      </c>
      <c r="C178" s="202">
        <v>44382.8294097222</v>
      </c>
      <c r="D178" s="202">
        <v>44382.8300115741</v>
      </c>
      <c r="E178" s="203" t="s">
        <v>64</v>
      </c>
      <c r="F178" s="204" t="s">
        <v>263</v>
      </c>
      <c r="G178" s="204">
        <v>2000</v>
      </c>
      <c r="H178" s="203" t="s">
        <v>261</v>
      </c>
      <c r="I178" s="204" t="s">
        <v>296</v>
      </c>
      <c r="J178" s="204" t="s">
        <v>297</v>
      </c>
      <c r="K178" s="204" t="s">
        <v>51</v>
      </c>
      <c r="L178" s="204" t="str">
        <f>VLOOKUP(K:K,供应商清单!$A:$B,2,0)</f>
        <v>顶尖</v>
      </c>
      <c r="M178" s="204" t="s">
        <v>176</v>
      </c>
      <c r="N178" s="204">
        <v>10001161297739</v>
      </c>
      <c r="O178" s="204">
        <v>71000121061163</v>
      </c>
      <c r="P178" s="206"/>
    </row>
    <row r="179" ht="14.25" spans="1:16">
      <c r="A179" s="200">
        <v>4130</v>
      </c>
      <c r="B179" s="201" t="s">
        <v>174</v>
      </c>
      <c r="C179" s="202">
        <v>44382.8294097222</v>
      </c>
      <c r="D179" s="202">
        <v>44382.8300115741</v>
      </c>
      <c r="E179" s="203" t="s">
        <v>64</v>
      </c>
      <c r="F179" s="204" t="s">
        <v>263</v>
      </c>
      <c r="G179" s="204">
        <v>2000</v>
      </c>
      <c r="H179" s="203" t="s">
        <v>261</v>
      </c>
      <c r="I179" s="204" t="s">
        <v>296</v>
      </c>
      <c r="J179" s="204" t="s">
        <v>297</v>
      </c>
      <c r="K179" s="204" t="s">
        <v>51</v>
      </c>
      <c r="L179" s="204" t="str">
        <f>VLOOKUP(K:K,供应商清单!$A:$B,2,0)</f>
        <v>顶尖</v>
      </c>
      <c r="M179" s="204" t="s">
        <v>176</v>
      </c>
      <c r="N179" s="204">
        <v>10001161297740</v>
      </c>
      <c r="O179" s="204">
        <v>71000121061163</v>
      </c>
      <c r="P179" s="206"/>
    </row>
    <row r="180" ht="14.25" spans="1:16">
      <c r="A180" s="200">
        <v>4131</v>
      </c>
      <c r="B180" s="201" t="s">
        <v>174</v>
      </c>
      <c r="C180" s="202">
        <v>44382.8294212963</v>
      </c>
      <c r="D180" s="202">
        <v>44382.8300231481</v>
      </c>
      <c r="E180" s="203" t="s">
        <v>94</v>
      </c>
      <c r="F180" s="204" t="s">
        <v>220</v>
      </c>
      <c r="G180" s="204">
        <v>2000</v>
      </c>
      <c r="H180" s="203" t="s">
        <v>261</v>
      </c>
      <c r="I180" s="204" t="s">
        <v>296</v>
      </c>
      <c r="J180" s="204" t="s">
        <v>297</v>
      </c>
      <c r="K180" s="204" t="s">
        <v>23</v>
      </c>
      <c r="L180" s="204" t="str">
        <f>VLOOKUP(K:K,供应商清单!$A:$B,2,0)</f>
        <v>天沃</v>
      </c>
      <c r="M180" s="204" t="s">
        <v>176</v>
      </c>
      <c r="N180" s="204">
        <v>10001161297741</v>
      </c>
      <c r="O180" s="204">
        <v>71000121052599</v>
      </c>
      <c r="P180" s="206"/>
    </row>
    <row r="181" ht="14.25" spans="1:16">
      <c r="A181" s="200">
        <v>4132</v>
      </c>
      <c r="B181" s="201" t="s">
        <v>174</v>
      </c>
      <c r="C181" s="202">
        <v>44382.8294907407</v>
      </c>
      <c r="D181" s="202">
        <v>44382.8300231481</v>
      </c>
      <c r="E181" s="203" t="s">
        <v>71</v>
      </c>
      <c r="F181" s="204" t="s">
        <v>220</v>
      </c>
      <c r="G181" s="204">
        <v>1300</v>
      </c>
      <c r="H181" s="203" t="s">
        <v>261</v>
      </c>
      <c r="I181" s="204" t="s">
        <v>296</v>
      </c>
      <c r="J181" s="204" t="s">
        <v>297</v>
      </c>
      <c r="K181" s="204" t="s">
        <v>30</v>
      </c>
      <c r="L181" s="204" t="str">
        <f>VLOOKUP(K:K,供应商清单!$A:$B,2,0)</f>
        <v>翰森</v>
      </c>
      <c r="M181" s="204" t="s">
        <v>176</v>
      </c>
      <c r="N181" s="204">
        <v>10001161297742</v>
      </c>
      <c r="O181" s="204">
        <v>71000121060156</v>
      </c>
      <c r="P181" s="206"/>
    </row>
    <row r="182" ht="14.25" spans="1:16">
      <c r="A182" s="200">
        <v>4133</v>
      </c>
      <c r="B182" s="201" t="s">
        <v>174</v>
      </c>
      <c r="C182" s="202">
        <v>44382.8294907407</v>
      </c>
      <c r="D182" s="202">
        <v>44382.8300231481</v>
      </c>
      <c r="E182" s="203" t="s">
        <v>71</v>
      </c>
      <c r="F182" s="204" t="s">
        <v>220</v>
      </c>
      <c r="G182" s="204">
        <v>587</v>
      </c>
      <c r="H182" s="203" t="s">
        <v>261</v>
      </c>
      <c r="I182" s="204" t="s">
        <v>296</v>
      </c>
      <c r="J182" s="204" t="s">
        <v>297</v>
      </c>
      <c r="K182" s="204" t="s">
        <v>30</v>
      </c>
      <c r="L182" s="204" t="str">
        <f>VLOOKUP(K:K,供应商清单!$A:$B,2,0)</f>
        <v>翰森</v>
      </c>
      <c r="M182" s="204" t="s">
        <v>176</v>
      </c>
      <c r="N182" s="204">
        <v>10001161297742</v>
      </c>
      <c r="O182" s="204">
        <v>71000121051942</v>
      </c>
      <c r="P182" s="206"/>
    </row>
    <row r="183" ht="14.25" spans="1:16">
      <c r="A183" s="200">
        <v>4134</v>
      </c>
      <c r="B183" s="201" t="s">
        <v>174</v>
      </c>
      <c r="C183" s="202">
        <v>44382.8295023148</v>
      </c>
      <c r="D183" s="202">
        <v>44382.8300231481</v>
      </c>
      <c r="E183" s="203" t="s">
        <v>103</v>
      </c>
      <c r="F183" s="204" t="s">
        <v>220</v>
      </c>
      <c r="G183" s="204">
        <v>680</v>
      </c>
      <c r="H183" s="203" t="s">
        <v>261</v>
      </c>
      <c r="I183" s="204" t="s">
        <v>296</v>
      </c>
      <c r="J183" s="204" t="s">
        <v>297</v>
      </c>
      <c r="K183" s="204" t="s">
        <v>18</v>
      </c>
      <c r="L183" s="204" t="str">
        <f>VLOOKUP(K:K,供应商清单!$A:$B,2,0)</f>
        <v>中扬</v>
      </c>
      <c r="M183" s="204" t="s">
        <v>176</v>
      </c>
      <c r="N183" s="204">
        <v>10001161297743</v>
      </c>
      <c r="O183" s="204">
        <v>71000121061307</v>
      </c>
      <c r="P183" s="206"/>
    </row>
    <row r="184" ht="14.25" spans="1:16">
      <c r="A184" s="200">
        <v>4135</v>
      </c>
      <c r="B184" s="201" t="s">
        <v>174</v>
      </c>
      <c r="C184" s="202">
        <v>44382.8295023148</v>
      </c>
      <c r="D184" s="202">
        <v>44382.8300231481</v>
      </c>
      <c r="E184" s="203" t="s">
        <v>103</v>
      </c>
      <c r="F184" s="204" t="s">
        <v>220</v>
      </c>
      <c r="G184" s="204">
        <v>20</v>
      </c>
      <c r="H184" s="203" t="s">
        <v>261</v>
      </c>
      <c r="I184" s="204" t="s">
        <v>296</v>
      </c>
      <c r="J184" s="204" t="s">
        <v>297</v>
      </c>
      <c r="K184" s="204" t="s">
        <v>18</v>
      </c>
      <c r="L184" s="204" t="str">
        <f>VLOOKUP(K:K,供应商清单!$A:$B,2,0)</f>
        <v>中扬</v>
      </c>
      <c r="M184" s="204" t="s">
        <v>176</v>
      </c>
      <c r="N184" s="204">
        <v>10001161297746</v>
      </c>
      <c r="O184" s="204">
        <v>71000121061307</v>
      </c>
      <c r="P184" s="206"/>
    </row>
    <row r="185" ht="14.25" spans="1:16">
      <c r="A185" s="200">
        <v>4136</v>
      </c>
      <c r="B185" s="201" t="s">
        <v>174</v>
      </c>
      <c r="C185" s="202">
        <v>44382.8295023148</v>
      </c>
      <c r="D185" s="202">
        <v>44382.8300231481</v>
      </c>
      <c r="E185" s="203" t="s">
        <v>95</v>
      </c>
      <c r="F185" s="204" t="s">
        <v>254</v>
      </c>
      <c r="G185" s="204">
        <v>2719</v>
      </c>
      <c r="H185" s="203" t="s">
        <v>261</v>
      </c>
      <c r="I185" s="204" t="s">
        <v>296</v>
      </c>
      <c r="J185" s="204" t="s">
        <v>297</v>
      </c>
      <c r="K185" s="204" t="s">
        <v>40</v>
      </c>
      <c r="L185" s="204" t="str">
        <f>VLOOKUP(K:K,供应商清单!$A:$B,2,0)</f>
        <v>镒沣</v>
      </c>
      <c r="M185" s="204" t="s">
        <v>176</v>
      </c>
      <c r="N185" s="204">
        <v>10001161297748</v>
      </c>
      <c r="O185" s="204">
        <v>71000121052002</v>
      </c>
      <c r="P185" s="206"/>
    </row>
    <row r="186" ht="14.25" spans="1:16">
      <c r="A186" s="200">
        <v>4137</v>
      </c>
      <c r="B186" s="201" t="s">
        <v>174</v>
      </c>
      <c r="C186" s="202">
        <v>44382.8295138889</v>
      </c>
      <c r="D186" s="202">
        <v>44382.8300231481</v>
      </c>
      <c r="E186" s="203" t="s">
        <v>95</v>
      </c>
      <c r="F186" s="204" t="s">
        <v>254</v>
      </c>
      <c r="G186" s="204">
        <v>2471</v>
      </c>
      <c r="H186" s="203" t="s">
        <v>261</v>
      </c>
      <c r="I186" s="204" t="s">
        <v>296</v>
      </c>
      <c r="J186" s="204" t="s">
        <v>297</v>
      </c>
      <c r="K186" s="204" t="s">
        <v>40</v>
      </c>
      <c r="L186" s="204" t="str">
        <f>VLOOKUP(K:K,供应商清单!$A:$B,2,0)</f>
        <v>镒沣</v>
      </c>
      <c r="M186" s="204" t="s">
        <v>176</v>
      </c>
      <c r="N186" s="204">
        <v>10001161297748</v>
      </c>
      <c r="O186" s="204">
        <v>71000121052002</v>
      </c>
      <c r="P186" s="206"/>
    </row>
    <row r="187" ht="14.25" spans="1:16">
      <c r="A187" s="200">
        <v>4138</v>
      </c>
      <c r="B187" s="201" t="s">
        <v>174</v>
      </c>
      <c r="C187" s="202">
        <v>44382.8295833333</v>
      </c>
      <c r="D187" s="202">
        <v>44382.8300231481</v>
      </c>
      <c r="E187" s="203" t="s">
        <v>103</v>
      </c>
      <c r="F187" s="204" t="s">
        <v>220</v>
      </c>
      <c r="G187" s="204">
        <v>1980</v>
      </c>
      <c r="H187" s="203" t="s">
        <v>261</v>
      </c>
      <c r="I187" s="204" t="s">
        <v>296</v>
      </c>
      <c r="J187" s="204" t="s">
        <v>297</v>
      </c>
      <c r="K187" s="204" t="s">
        <v>18</v>
      </c>
      <c r="L187" s="204" t="str">
        <f>VLOOKUP(K:K,供应商清单!$A:$B,2,0)</f>
        <v>中扬</v>
      </c>
      <c r="M187" s="204" t="s">
        <v>176</v>
      </c>
      <c r="N187" s="204">
        <v>10001161297744</v>
      </c>
      <c r="O187" s="204">
        <v>71000121061307</v>
      </c>
      <c r="P187" s="206"/>
    </row>
    <row r="188" ht="14.25" spans="1:16">
      <c r="A188" s="200">
        <v>4139</v>
      </c>
      <c r="B188" s="201" t="s">
        <v>174</v>
      </c>
      <c r="C188" s="202">
        <v>44382.8295833333</v>
      </c>
      <c r="D188" s="202">
        <v>44382.8300231481</v>
      </c>
      <c r="E188" s="203" t="s">
        <v>103</v>
      </c>
      <c r="F188" s="204" t="s">
        <v>220</v>
      </c>
      <c r="G188" s="204">
        <v>2700</v>
      </c>
      <c r="H188" s="203" t="s">
        <v>261</v>
      </c>
      <c r="I188" s="204" t="s">
        <v>296</v>
      </c>
      <c r="J188" s="204" t="s">
        <v>297</v>
      </c>
      <c r="K188" s="204" t="s">
        <v>18</v>
      </c>
      <c r="L188" s="204" t="str">
        <f>VLOOKUP(K:K,供应商清单!$A:$B,2,0)</f>
        <v>中扬</v>
      </c>
      <c r="M188" s="204" t="s">
        <v>176</v>
      </c>
      <c r="N188" s="204">
        <v>10001161297745</v>
      </c>
      <c r="O188" s="204">
        <v>71000121061307</v>
      </c>
      <c r="P188" s="206"/>
    </row>
    <row r="189" ht="14.25" spans="1:16">
      <c r="A189" s="200">
        <v>4140</v>
      </c>
      <c r="B189" s="201" t="s">
        <v>174</v>
      </c>
      <c r="C189" s="202">
        <v>44382.8295833333</v>
      </c>
      <c r="D189" s="202">
        <v>44382.8300231481</v>
      </c>
      <c r="E189" s="203" t="s">
        <v>308</v>
      </c>
      <c r="F189" s="204" t="s">
        <v>309</v>
      </c>
      <c r="G189" s="204">
        <v>3456</v>
      </c>
      <c r="H189" s="203" t="s">
        <v>261</v>
      </c>
      <c r="I189" s="204" t="s">
        <v>296</v>
      </c>
      <c r="J189" s="204" t="s">
        <v>297</v>
      </c>
      <c r="K189" s="204" t="s">
        <v>42</v>
      </c>
      <c r="L189" s="204" t="str">
        <f>VLOOKUP(K:K,供应商清单!$A:$B,2,0)</f>
        <v>众博</v>
      </c>
      <c r="M189" s="204" t="s">
        <v>298</v>
      </c>
      <c r="N189" s="204">
        <v>10001161297652</v>
      </c>
      <c r="O189" s="204">
        <v>71000121052702</v>
      </c>
      <c r="P189" s="206"/>
    </row>
    <row r="190" ht="14.25" spans="1:16">
      <c r="A190" s="200">
        <v>4141</v>
      </c>
      <c r="B190" s="201" t="s">
        <v>174</v>
      </c>
      <c r="C190" s="202">
        <v>44382.8295833333</v>
      </c>
      <c r="D190" s="202">
        <v>44382.8300347222</v>
      </c>
      <c r="E190" s="203" t="s">
        <v>329</v>
      </c>
      <c r="F190" s="204" t="s">
        <v>229</v>
      </c>
      <c r="G190" s="204">
        <v>2500</v>
      </c>
      <c r="H190" s="203" t="s">
        <v>261</v>
      </c>
      <c r="I190" s="204" t="s">
        <v>296</v>
      </c>
      <c r="J190" s="204" t="s">
        <v>297</v>
      </c>
      <c r="K190" s="204" t="s">
        <v>42</v>
      </c>
      <c r="L190" s="204" t="str">
        <f>VLOOKUP(K:K,供应商清单!$A:$B,2,0)</f>
        <v>众博</v>
      </c>
      <c r="M190" s="204" t="s">
        <v>298</v>
      </c>
      <c r="N190" s="204">
        <v>10001161297653</v>
      </c>
      <c r="O190" s="204">
        <v>71000121061496</v>
      </c>
      <c r="P190" s="206"/>
    </row>
    <row r="191" ht="14.25" spans="1:16">
      <c r="A191" s="200">
        <v>4142</v>
      </c>
      <c r="B191" s="201" t="s">
        <v>174</v>
      </c>
      <c r="C191" s="202">
        <v>44382.8295833333</v>
      </c>
      <c r="D191" s="202">
        <v>44382.8300347222</v>
      </c>
      <c r="E191" s="203" t="s">
        <v>329</v>
      </c>
      <c r="F191" s="204" t="s">
        <v>229</v>
      </c>
      <c r="G191" s="204">
        <v>20</v>
      </c>
      <c r="H191" s="203" t="s">
        <v>261</v>
      </c>
      <c r="I191" s="204" t="s">
        <v>296</v>
      </c>
      <c r="J191" s="204" t="s">
        <v>297</v>
      </c>
      <c r="K191" s="204" t="s">
        <v>42</v>
      </c>
      <c r="L191" s="204" t="str">
        <f>VLOOKUP(K:K,供应商清单!$A:$B,2,0)</f>
        <v>众博</v>
      </c>
      <c r="M191" s="204" t="s">
        <v>298</v>
      </c>
      <c r="N191" s="204">
        <v>10001161297653</v>
      </c>
      <c r="O191" s="204">
        <v>71000121052702</v>
      </c>
      <c r="P191" s="206"/>
    </row>
    <row r="192" ht="14.25" spans="1:16">
      <c r="A192" s="200">
        <v>4143</v>
      </c>
      <c r="B192" s="201" t="s">
        <v>174</v>
      </c>
      <c r="C192" s="202">
        <v>44382.8295949074</v>
      </c>
      <c r="D192" s="202">
        <v>44382.8300347222</v>
      </c>
      <c r="E192" s="203" t="s">
        <v>316</v>
      </c>
      <c r="F192" s="204" t="s">
        <v>283</v>
      </c>
      <c r="G192" s="204">
        <v>400</v>
      </c>
      <c r="H192" s="203" t="s">
        <v>261</v>
      </c>
      <c r="I192" s="204" t="s">
        <v>296</v>
      </c>
      <c r="J192" s="204" t="s">
        <v>297</v>
      </c>
      <c r="K192" s="204" t="s">
        <v>42</v>
      </c>
      <c r="L192" s="204" t="str">
        <f>VLOOKUP(K:K,供应商清单!$A:$B,2,0)</f>
        <v>众博</v>
      </c>
      <c r="M192" s="204" t="s">
        <v>298</v>
      </c>
      <c r="N192" s="204">
        <v>10001161297654</v>
      </c>
      <c r="O192" s="204">
        <v>71000121061496</v>
      </c>
      <c r="P192" s="206"/>
    </row>
    <row r="193" ht="14.25" spans="1:16">
      <c r="A193" s="200">
        <v>4144</v>
      </c>
      <c r="B193" s="201" t="s">
        <v>174</v>
      </c>
      <c r="C193" s="202">
        <v>44382.8296643519</v>
      </c>
      <c r="D193" s="202">
        <v>44382.8300347222</v>
      </c>
      <c r="E193" s="203" t="s">
        <v>316</v>
      </c>
      <c r="F193" s="204" t="s">
        <v>283</v>
      </c>
      <c r="G193" s="204">
        <v>2800</v>
      </c>
      <c r="H193" s="203" t="s">
        <v>261</v>
      </c>
      <c r="I193" s="204" t="s">
        <v>296</v>
      </c>
      <c r="J193" s="204" t="s">
        <v>297</v>
      </c>
      <c r="K193" s="204" t="s">
        <v>42</v>
      </c>
      <c r="L193" s="204" t="str">
        <f>VLOOKUP(K:K,供应商清单!$A:$B,2,0)</f>
        <v>众博</v>
      </c>
      <c r="M193" s="204" t="s">
        <v>298</v>
      </c>
      <c r="N193" s="204">
        <v>10001161297654</v>
      </c>
      <c r="O193" s="204">
        <v>71000121052607</v>
      </c>
      <c r="P193" s="206"/>
    </row>
    <row r="194" ht="14.25" spans="1:16">
      <c r="A194" s="200">
        <v>4145</v>
      </c>
      <c r="B194" s="201" t="s">
        <v>174</v>
      </c>
      <c r="C194" s="202">
        <v>44382.8296643519</v>
      </c>
      <c r="D194" s="202">
        <v>44382.8300347222</v>
      </c>
      <c r="E194" s="203" t="s">
        <v>317</v>
      </c>
      <c r="F194" s="204" t="s">
        <v>318</v>
      </c>
      <c r="G194" s="204">
        <v>100</v>
      </c>
      <c r="H194" s="203" t="s">
        <v>261</v>
      </c>
      <c r="I194" s="204" t="s">
        <v>296</v>
      </c>
      <c r="J194" s="204" t="s">
        <v>297</v>
      </c>
      <c r="K194" s="204" t="s">
        <v>42</v>
      </c>
      <c r="L194" s="204" t="str">
        <f>VLOOKUP(K:K,供应商清单!$A:$B,2,0)</f>
        <v>众博</v>
      </c>
      <c r="M194" s="204" t="s">
        <v>298</v>
      </c>
      <c r="N194" s="204">
        <v>10001161297655</v>
      </c>
      <c r="O194" s="204">
        <v>71000121052607</v>
      </c>
      <c r="P194" s="206"/>
    </row>
    <row r="195" ht="14.25" spans="1:16">
      <c r="A195" s="200">
        <v>4146</v>
      </c>
      <c r="B195" s="201" t="s">
        <v>174</v>
      </c>
      <c r="C195" s="202">
        <v>44382.8296643519</v>
      </c>
      <c r="D195" s="202">
        <v>44382.8300347222</v>
      </c>
      <c r="E195" s="203" t="s">
        <v>317</v>
      </c>
      <c r="F195" s="204" t="s">
        <v>318</v>
      </c>
      <c r="G195" s="204">
        <v>667</v>
      </c>
      <c r="H195" s="203" t="s">
        <v>261</v>
      </c>
      <c r="I195" s="204" t="s">
        <v>296</v>
      </c>
      <c r="J195" s="204" t="s">
        <v>297</v>
      </c>
      <c r="K195" s="204" t="s">
        <v>42</v>
      </c>
      <c r="L195" s="204" t="str">
        <f>VLOOKUP(K:K,供应商清单!$A:$B,2,0)</f>
        <v>众博</v>
      </c>
      <c r="M195" s="204" t="s">
        <v>298</v>
      </c>
      <c r="N195" s="204">
        <v>10001161297655</v>
      </c>
      <c r="O195" s="204">
        <v>71000121052607</v>
      </c>
      <c r="P195" s="206"/>
    </row>
    <row r="196" ht="14.25" spans="1:16">
      <c r="A196" s="200">
        <v>4154</v>
      </c>
      <c r="B196" s="201" t="s">
        <v>174</v>
      </c>
      <c r="C196" s="202">
        <v>44382.8297685185</v>
      </c>
      <c r="D196" s="202">
        <v>44382.8300462963</v>
      </c>
      <c r="E196" s="203" t="s">
        <v>317</v>
      </c>
      <c r="F196" s="204" t="s">
        <v>318</v>
      </c>
      <c r="G196" s="204">
        <v>447</v>
      </c>
      <c r="H196" s="203" t="s">
        <v>261</v>
      </c>
      <c r="I196" s="204" t="s">
        <v>296</v>
      </c>
      <c r="J196" s="204" t="s">
        <v>297</v>
      </c>
      <c r="K196" s="204" t="s">
        <v>42</v>
      </c>
      <c r="L196" s="204" t="str">
        <f>VLOOKUP(K:K,供应商清单!$A:$B,2,0)</f>
        <v>众博</v>
      </c>
      <c r="M196" s="204" t="s">
        <v>298</v>
      </c>
      <c r="N196" s="204">
        <v>10001161297655</v>
      </c>
      <c r="O196" s="204">
        <v>71000121051930</v>
      </c>
      <c r="P196" s="206"/>
    </row>
    <row r="197" ht="14.25" spans="1:16">
      <c r="A197" s="200">
        <v>4155</v>
      </c>
      <c r="B197" s="201" t="s">
        <v>174</v>
      </c>
      <c r="C197" s="202">
        <v>44382.8297800926</v>
      </c>
      <c r="D197" s="202">
        <v>44382.8300462963</v>
      </c>
      <c r="E197" s="203" t="s">
        <v>317</v>
      </c>
      <c r="F197" s="204" t="s">
        <v>318</v>
      </c>
      <c r="G197" s="204">
        <v>146</v>
      </c>
      <c r="H197" s="203" t="s">
        <v>261</v>
      </c>
      <c r="I197" s="204" t="s">
        <v>296</v>
      </c>
      <c r="J197" s="204" t="s">
        <v>297</v>
      </c>
      <c r="K197" s="204" t="s">
        <v>42</v>
      </c>
      <c r="L197" s="204" t="str">
        <f>VLOOKUP(K:K,供应商清单!$A:$B,2,0)</f>
        <v>众博</v>
      </c>
      <c r="M197" s="204" t="s">
        <v>298</v>
      </c>
      <c r="N197" s="204">
        <v>10001161297655</v>
      </c>
      <c r="O197" s="204">
        <v>71000121051930</v>
      </c>
      <c r="P197" s="206"/>
    </row>
    <row r="198" ht="14.25" spans="1:16">
      <c r="A198" s="200">
        <v>4236</v>
      </c>
      <c r="B198" s="201" t="s">
        <v>174</v>
      </c>
      <c r="C198" s="202">
        <v>44389.4754398148</v>
      </c>
      <c r="D198" s="202">
        <v>44389.4759259259</v>
      </c>
      <c r="E198" s="203" t="s">
        <v>333</v>
      </c>
      <c r="F198" s="204" t="s">
        <v>334</v>
      </c>
      <c r="G198" s="204">
        <v>120</v>
      </c>
      <c r="H198" s="203" t="s">
        <v>335</v>
      </c>
      <c r="I198" s="204" t="s">
        <v>336</v>
      </c>
      <c r="J198" s="204" t="s">
        <v>297</v>
      </c>
      <c r="K198" s="204" t="s">
        <v>51</v>
      </c>
      <c r="L198" s="204" t="str">
        <f>VLOOKUP(K:K,供应商清单!$A:$B,2,0)</f>
        <v>顶尖</v>
      </c>
      <c r="M198" s="204" t="s">
        <v>298</v>
      </c>
      <c r="N198" s="204">
        <v>10001161298357</v>
      </c>
      <c r="O198" s="204">
        <v>71000121062239</v>
      </c>
      <c r="P198" s="206"/>
    </row>
    <row r="199" ht="14.25" spans="1:16">
      <c r="A199" s="200">
        <v>4346</v>
      </c>
      <c r="B199" s="201" t="s">
        <v>174</v>
      </c>
      <c r="C199" s="202">
        <v>44380.4658101852</v>
      </c>
      <c r="D199" s="202">
        <v>44380.4664467593</v>
      </c>
      <c r="E199" s="203" t="s">
        <v>98</v>
      </c>
      <c r="F199" s="204" t="s">
        <v>220</v>
      </c>
      <c r="G199" s="204">
        <v>932</v>
      </c>
      <c r="H199" s="203" t="s">
        <v>261</v>
      </c>
      <c r="I199" s="204" t="s">
        <v>296</v>
      </c>
      <c r="J199" s="204" t="s">
        <v>297</v>
      </c>
      <c r="K199" s="204" t="s">
        <v>38</v>
      </c>
      <c r="L199" s="204" t="str">
        <f>VLOOKUP(K:K,供应商清单!$A:$B,2,0)</f>
        <v>优云</v>
      </c>
      <c r="M199" s="204" t="s">
        <v>176</v>
      </c>
      <c r="N199" s="204">
        <v>10001161297505</v>
      </c>
      <c r="O199" s="204">
        <v>71000121050637</v>
      </c>
      <c r="P199" s="206"/>
    </row>
    <row r="200" ht="14.25" spans="1:16">
      <c r="A200" s="200">
        <v>4347</v>
      </c>
      <c r="B200" s="201" t="s">
        <v>174</v>
      </c>
      <c r="C200" s="202">
        <v>44380.4658101852</v>
      </c>
      <c r="D200" s="202">
        <v>44380.4664467593</v>
      </c>
      <c r="E200" s="203" t="s">
        <v>330</v>
      </c>
      <c r="F200" s="204" t="s">
        <v>315</v>
      </c>
      <c r="G200" s="204">
        <v>1524</v>
      </c>
      <c r="H200" s="203" t="s">
        <v>261</v>
      </c>
      <c r="I200" s="204" t="s">
        <v>296</v>
      </c>
      <c r="J200" s="204" t="s">
        <v>297</v>
      </c>
      <c r="K200" s="204" t="s">
        <v>38</v>
      </c>
      <c r="L200" s="204" t="str">
        <f>VLOOKUP(K:K,供应商清单!$A:$B,2,0)</f>
        <v>优云</v>
      </c>
      <c r="M200" s="204" t="s">
        <v>303</v>
      </c>
      <c r="N200" s="204">
        <v>10001161297506</v>
      </c>
      <c r="O200" s="204">
        <v>71000121061389</v>
      </c>
      <c r="P200" s="206"/>
    </row>
    <row r="201" ht="14.25" spans="1:16">
      <c r="A201" s="200">
        <v>4493</v>
      </c>
      <c r="B201" s="201" t="s">
        <v>174</v>
      </c>
      <c r="C201" s="202">
        <v>44385.5487152778</v>
      </c>
      <c r="D201" s="202">
        <v>44385.5495833333</v>
      </c>
      <c r="E201" s="203" t="s">
        <v>311</v>
      </c>
      <c r="F201" s="204" t="s">
        <v>229</v>
      </c>
      <c r="G201" s="204">
        <v>3900</v>
      </c>
      <c r="H201" s="203" t="s">
        <v>261</v>
      </c>
      <c r="I201" s="204" t="s">
        <v>296</v>
      </c>
      <c r="J201" s="204" t="s">
        <v>297</v>
      </c>
      <c r="K201" s="204" t="s">
        <v>40</v>
      </c>
      <c r="L201" s="204" t="str">
        <f>VLOOKUP(K:K,供应商清单!$A:$B,2,0)</f>
        <v>镒沣</v>
      </c>
      <c r="M201" s="204" t="s">
        <v>298</v>
      </c>
      <c r="N201" s="204">
        <v>10001161298096</v>
      </c>
      <c r="O201" s="204">
        <v>71000121052679</v>
      </c>
      <c r="P201" s="206"/>
    </row>
    <row r="202" ht="14.25" spans="1:16">
      <c r="A202" s="200">
        <v>4494</v>
      </c>
      <c r="B202" s="201" t="s">
        <v>174</v>
      </c>
      <c r="C202" s="202">
        <v>44385.5487152778</v>
      </c>
      <c r="D202" s="202">
        <v>44385.5495833333</v>
      </c>
      <c r="E202" s="203" t="s">
        <v>300</v>
      </c>
      <c r="F202" s="204" t="s">
        <v>220</v>
      </c>
      <c r="G202" s="204">
        <v>4200</v>
      </c>
      <c r="H202" s="203" t="s">
        <v>261</v>
      </c>
      <c r="I202" s="204" t="s">
        <v>296</v>
      </c>
      <c r="J202" s="204" t="s">
        <v>297</v>
      </c>
      <c r="K202" s="204" t="s">
        <v>40</v>
      </c>
      <c r="L202" s="204" t="str">
        <f>VLOOKUP(K:K,供应商清单!$A:$B,2,0)</f>
        <v>镒沣</v>
      </c>
      <c r="M202" s="204" t="s">
        <v>298</v>
      </c>
      <c r="N202" s="204">
        <v>10001161298097</v>
      </c>
      <c r="O202" s="204">
        <v>71000121052679</v>
      </c>
      <c r="P202" s="206"/>
    </row>
    <row r="203" ht="14.25" spans="1:16">
      <c r="A203" s="200">
        <v>4495</v>
      </c>
      <c r="B203" s="201" t="s">
        <v>174</v>
      </c>
      <c r="C203" s="202">
        <v>44385.5487152778</v>
      </c>
      <c r="D203" s="202">
        <v>44385.5495833333</v>
      </c>
      <c r="E203" s="203" t="s">
        <v>95</v>
      </c>
      <c r="F203" s="204" t="s">
        <v>254</v>
      </c>
      <c r="G203" s="204">
        <v>30</v>
      </c>
      <c r="H203" s="203" t="s">
        <v>261</v>
      </c>
      <c r="I203" s="204" t="s">
        <v>296</v>
      </c>
      <c r="J203" s="204" t="s">
        <v>297</v>
      </c>
      <c r="K203" s="204" t="s">
        <v>40</v>
      </c>
      <c r="L203" s="204" t="str">
        <f>VLOOKUP(K:K,供应商清单!$A:$B,2,0)</f>
        <v>镒沣</v>
      </c>
      <c r="M203" s="204" t="s">
        <v>176</v>
      </c>
      <c r="N203" s="204">
        <v>10001161298098</v>
      </c>
      <c r="O203" s="204">
        <v>71000121052002</v>
      </c>
      <c r="P203" s="206"/>
    </row>
    <row r="204" ht="14.25" spans="1:16">
      <c r="A204" s="200">
        <v>4496</v>
      </c>
      <c r="B204" s="201" t="s">
        <v>174</v>
      </c>
      <c r="C204" s="202">
        <v>44385.5487152778</v>
      </c>
      <c r="D204" s="202">
        <v>44385.5495833333</v>
      </c>
      <c r="E204" s="203" t="s">
        <v>95</v>
      </c>
      <c r="F204" s="204" t="s">
        <v>254</v>
      </c>
      <c r="G204" s="204">
        <v>2833</v>
      </c>
      <c r="H204" s="203" t="s">
        <v>261</v>
      </c>
      <c r="I204" s="204" t="s">
        <v>296</v>
      </c>
      <c r="J204" s="204" t="s">
        <v>297</v>
      </c>
      <c r="K204" s="204" t="s">
        <v>40</v>
      </c>
      <c r="L204" s="204" t="str">
        <f>VLOOKUP(K:K,供应商清单!$A:$B,2,0)</f>
        <v>镒沣</v>
      </c>
      <c r="M204" s="204" t="s">
        <v>176</v>
      </c>
      <c r="N204" s="204">
        <v>10001161298098</v>
      </c>
      <c r="O204" s="204">
        <v>71000121052002</v>
      </c>
      <c r="P204" s="206"/>
    </row>
    <row r="205" ht="14.25" spans="1:16">
      <c r="A205" s="200">
        <v>4497</v>
      </c>
      <c r="B205" s="201" t="s">
        <v>174</v>
      </c>
      <c r="C205" s="202">
        <v>44385.5487152778</v>
      </c>
      <c r="D205" s="202">
        <v>44385.5495833333</v>
      </c>
      <c r="E205" s="203" t="s">
        <v>103</v>
      </c>
      <c r="F205" s="204" t="s">
        <v>220</v>
      </c>
      <c r="G205" s="204">
        <v>3480</v>
      </c>
      <c r="H205" s="203" t="s">
        <v>261</v>
      </c>
      <c r="I205" s="204" t="s">
        <v>296</v>
      </c>
      <c r="J205" s="204" t="s">
        <v>297</v>
      </c>
      <c r="K205" s="204" t="s">
        <v>18</v>
      </c>
      <c r="L205" s="204" t="str">
        <f>VLOOKUP(K:K,供应商清单!$A:$B,2,0)</f>
        <v>中扬</v>
      </c>
      <c r="M205" s="204" t="s">
        <v>176</v>
      </c>
      <c r="N205" s="204">
        <v>10001161298103</v>
      </c>
      <c r="O205" s="204">
        <v>71000121061307</v>
      </c>
      <c r="P205" s="206"/>
    </row>
    <row r="206" ht="14.25" spans="1:16">
      <c r="A206" s="200">
        <v>4498</v>
      </c>
      <c r="B206" s="201" t="s">
        <v>174</v>
      </c>
      <c r="C206" s="202">
        <v>44385.5487152778</v>
      </c>
      <c r="D206" s="202">
        <v>44385.5495949074</v>
      </c>
      <c r="E206" s="203" t="s">
        <v>94</v>
      </c>
      <c r="F206" s="204" t="s">
        <v>220</v>
      </c>
      <c r="G206" s="204">
        <v>1008</v>
      </c>
      <c r="H206" s="203" t="s">
        <v>261</v>
      </c>
      <c r="I206" s="204" t="s">
        <v>296</v>
      </c>
      <c r="J206" s="204" t="s">
        <v>297</v>
      </c>
      <c r="K206" s="204" t="s">
        <v>23</v>
      </c>
      <c r="L206" s="204" t="str">
        <f>VLOOKUP(K:K,供应商清单!$A:$B,2,0)</f>
        <v>天沃</v>
      </c>
      <c r="M206" s="204" t="s">
        <v>176</v>
      </c>
      <c r="N206" s="204">
        <v>10001161298104</v>
      </c>
      <c r="O206" s="204">
        <v>71000121052686</v>
      </c>
      <c r="P206" s="206"/>
    </row>
    <row r="207" ht="14.25" spans="1:16">
      <c r="A207" s="200">
        <v>4499</v>
      </c>
      <c r="B207" s="201" t="s">
        <v>174</v>
      </c>
      <c r="C207" s="202">
        <v>44385.5487152778</v>
      </c>
      <c r="D207" s="202">
        <v>44385.5495949074</v>
      </c>
      <c r="E207" s="203" t="s">
        <v>94</v>
      </c>
      <c r="F207" s="204" t="s">
        <v>220</v>
      </c>
      <c r="G207" s="204">
        <v>5144</v>
      </c>
      <c r="H207" s="203" t="s">
        <v>261</v>
      </c>
      <c r="I207" s="204" t="s">
        <v>296</v>
      </c>
      <c r="J207" s="204" t="s">
        <v>297</v>
      </c>
      <c r="K207" s="204" t="s">
        <v>23</v>
      </c>
      <c r="L207" s="204" t="str">
        <f>VLOOKUP(K:K,供应商清单!$A:$B,2,0)</f>
        <v>天沃</v>
      </c>
      <c r="M207" s="204" t="s">
        <v>176</v>
      </c>
      <c r="N207" s="204">
        <v>10001161298105</v>
      </c>
      <c r="O207" s="204">
        <v>71000121052686</v>
      </c>
      <c r="P207" s="206"/>
    </row>
    <row r="208" ht="14.25" spans="1:16">
      <c r="A208" s="200">
        <v>4500</v>
      </c>
      <c r="B208" s="201" t="s">
        <v>174</v>
      </c>
      <c r="C208" s="202">
        <v>44385.5489236111</v>
      </c>
      <c r="D208" s="202">
        <v>44385.5495949074</v>
      </c>
      <c r="E208" s="203" t="s">
        <v>94</v>
      </c>
      <c r="F208" s="204" t="s">
        <v>220</v>
      </c>
      <c r="G208" s="204">
        <v>868</v>
      </c>
      <c r="H208" s="203" t="s">
        <v>261</v>
      </c>
      <c r="I208" s="204" t="s">
        <v>296</v>
      </c>
      <c r="J208" s="204" t="s">
        <v>297</v>
      </c>
      <c r="K208" s="204" t="s">
        <v>23</v>
      </c>
      <c r="L208" s="204" t="str">
        <f>VLOOKUP(K:K,供应商清单!$A:$B,2,0)</f>
        <v>天沃</v>
      </c>
      <c r="M208" s="204" t="s">
        <v>176</v>
      </c>
      <c r="N208" s="204">
        <v>10001161298105</v>
      </c>
      <c r="O208" s="204">
        <v>71000121052686</v>
      </c>
      <c r="P208" s="206"/>
    </row>
    <row r="209" ht="14.25" spans="1:16">
      <c r="A209" s="200">
        <v>4501</v>
      </c>
      <c r="B209" s="201" t="s">
        <v>174</v>
      </c>
      <c r="C209" s="202">
        <v>44385.5489236111</v>
      </c>
      <c r="D209" s="202">
        <v>44385.5495949074</v>
      </c>
      <c r="E209" s="203" t="s">
        <v>72</v>
      </c>
      <c r="F209" s="204" t="s">
        <v>220</v>
      </c>
      <c r="G209" s="204">
        <v>1700</v>
      </c>
      <c r="H209" s="203" t="s">
        <v>261</v>
      </c>
      <c r="I209" s="204" t="s">
        <v>296</v>
      </c>
      <c r="J209" s="204" t="s">
        <v>297</v>
      </c>
      <c r="K209" s="204" t="s">
        <v>30</v>
      </c>
      <c r="L209" s="204" t="str">
        <f>VLOOKUP(K:K,供应商清单!$A:$B,2,0)</f>
        <v>翰森</v>
      </c>
      <c r="M209" s="204" t="s">
        <v>176</v>
      </c>
      <c r="N209" s="204">
        <v>10001161298106</v>
      </c>
      <c r="O209" s="204">
        <v>71000121060019</v>
      </c>
      <c r="P209" s="206"/>
    </row>
    <row r="210" ht="14.25" spans="1:16">
      <c r="A210" s="200">
        <v>4502</v>
      </c>
      <c r="B210" s="201" t="s">
        <v>174</v>
      </c>
      <c r="C210" s="202">
        <v>44385.5489236111</v>
      </c>
      <c r="D210" s="202">
        <v>44385.5495949074</v>
      </c>
      <c r="E210" s="203" t="s">
        <v>69</v>
      </c>
      <c r="F210" s="204" t="s">
        <v>220</v>
      </c>
      <c r="G210" s="204">
        <v>1880</v>
      </c>
      <c r="H210" s="203" t="s">
        <v>261</v>
      </c>
      <c r="I210" s="204" t="s">
        <v>296</v>
      </c>
      <c r="J210" s="204" t="s">
        <v>297</v>
      </c>
      <c r="K210" s="204" t="s">
        <v>53</v>
      </c>
      <c r="L210" s="204" t="str">
        <f>VLOOKUP(K:K,供应商清单!$A:$B,2,0)</f>
        <v>东睿</v>
      </c>
      <c r="M210" s="204" t="s">
        <v>176</v>
      </c>
      <c r="N210" s="204">
        <v>10001161298107</v>
      </c>
      <c r="O210" s="204">
        <v>71000121062076</v>
      </c>
      <c r="P210" s="206"/>
    </row>
    <row r="211" ht="14.25" spans="1:16">
      <c r="A211" s="200">
        <v>4503</v>
      </c>
      <c r="B211" s="201" t="s">
        <v>174</v>
      </c>
      <c r="C211" s="202">
        <v>44385.5489351852</v>
      </c>
      <c r="D211" s="202">
        <v>44385.5495949074</v>
      </c>
      <c r="E211" s="203" t="s">
        <v>98</v>
      </c>
      <c r="F211" s="204" t="s">
        <v>220</v>
      </c>
      <c r="G211" s="204">
        <v>1150</v>
      </c>
      <c r="H211" s="203" t="s">
        <v>261</v>
      </c>
      <c r="I211" s="204" t="s">
        <v>296</v>
      </c>
      <c r="J211" s="204" t="s">
        <v>297</v>
      </c>
      <c r="K211" s="204" t="s">
        <v>38</v>
      </c>
      <c r="L211" s="204" t="str">
        <f>VLOOKUP(K:K,供应商清单!$A:$B,2,0)</f>
        <v>优云</v>
      </c>
      <c r="M211" s="204" t="s">
        <v>176</v>
      </c>
      <c r="N211" s="204">
        <v>10001161298126</v>
      </c>
      <c r="O211" s="204">
        <v>71000121050637</v>
      </c>
      <c r="P211" s="206"/>
    </row>
    <row r="212" ht="14.25" spans="1:16">
      <c r="A212" s="200">
        <v>4749</v>
      </c>
      <c r="B212" s="201" t="s">
        <v>174</v>
      </c>
      <c r="C212" s="202">
        <v>44378.7774421296</v>
      </c>
      <c r="D212" s="202">
        <v>44378.7779050926</v>
      </c>
      <c r="E212" s="203" t="s">
        <v>304</v>
      </c>
      <c r="F212" s="204" t="s">
        <v>229</v>
      </c>
      <c r="G212" s="204">
        <v>2790</v>
      </c>
      <c r="H212" s="203" t="s">
        <v>261</v>
      </c>
      <c r="I212" s="204" t="s">
        <v>296</v>
      </c>
      <c r="J212" s="204" t="s">
        <v>297</v>
      </c>
      <c r="K212" s="204" t="s">
        <v>45</v>
      </c>
      <c r="L212" s="204" t="str">
        <f>VLOOKUP(K:K,供应商清单!$A:$B,2,0)</f>
        <v>荣亿</v>
      </c>
      <c r="M212" s="204" t="s">
        <v>298</v>
      </c>
      <c r="N212" s="204">
        <v>10001161297322</v>
      </c>
      <c r="O212" s="204">
        <v>71000121052582</v>
      </c>
      <c r="P212" s="206"/>
    </row>
    <row r="213" ht="14.25" spans="1:16">
      <c r="A213" s="200">
        <v>4750</v>
      </c>
      <c r="B213" s="201" t="s">
        <v>174</v>
      </c>
      <c r="C213" s="202">
        <v>44378.7774421296</v>
      </c>
      <c r="D213" s="202">
        <v>44378.7779166667</v>
      </c>
      <c r="E213" s="203" t="s">
        <v>304</v>
      </c>
      <c r="F213" s="204" t="s">
        <v>229</v>
      </c>
      <c r="G213" s="204">
        <v>970</v>
      </c>
      <c r="H213" s="203" t="s">
        <v>261</v>
      </c>
      <c r="I213" s="204" t="s">
        <v>296</v>
      </c>
      <c r="J213" s="204" t="s">
        <v>297</v>
      </c>
      <c r="K213" s="204" t="s">
        <v>45</v>
      </c>
      <c r="L213" s="204" t="str">
        <f>VLOOKUP(K:K,供应商清单!$A:$B,2,0)</f>
        <v>荣亿</v>
      </c>
      <c r="M213" s="204" t="s">
        <v>298</v>
      </c>
      <c r="N213" s="204">
        <v>10001161297322</v>
      </c>
      <c r="O213" s="204">
        <v>71000121052582</v>
      </c>
      <c r="P213" s="206"/>
    </row>
    <row r="214" ht="14.25" spans="1:16">
      <c r="A214" s="200">
        <v>4751</v>
      </c>
      <c r="B214" s="201" t="s">
        <v>174</v>
      </c>
      <c r="C214" s="202">
        <v>44378.7774421296</v>
      </c>
      <c r="D214" s="202">
        <v>44378.7779166667</v>
      </c>
      <c r="E214" s="203" t="s">
        <v>305</v>
      </c>
      <c r="F214" s="204" t="s">
        <v>229</v>
      </c>
      <c r="G214" s="204">
        <v>1010</v>
      </c>
      <c r="H214" s="203" t="s">
        <v>261</v>
      </c>
      <c r="I214" s="204" t="s">
        <v>296</v>
      </c>
      <c r="J214" s="204" t="s">
        <v>297</v>
      </c>
      <c r="K214" s="204" t="s">
        <v>45</v>
      </c>
      <c r="L214" s="204" t="str">
        <f>VLOOKUP(K:K,供应商清单!$A:$B,2,0)</f>
        <v>荣亿</v>
      </c>
      <c r="M214" s="204" t="s">
        <v>298</v>
      </c>
      <c r="N214" s="204">
        <v>10001161297323</v>
      </c>
      <c r="O214" s="204">
        <v>71000121052582</v>
      </c>
      <c r="P214" s="206"/>
    </row>
    <row r="215" ht="14.25" spans="1:16">
      <c r="A215" s="200">
        <v>4752</v>
      </c>
      <c r="B215" s="201" t="s">
        <v>174</v>
      </c>
      <c r="C215" s="202">
        <v>44378.7774537037</v>
      </c>
      <c r="D215" s="202">
        <v>44378.7779166667</v>
      </c>
      <c r="E215" s="203" t="s">
        <v>321</v>
      </c>
      <c r="F215" s="204" t="s">
        <v>318</v>
      </c>
      <c r="G215" s="204">
        <v>1000</v>
      </c>
      <c r="H215" s="203" t="s">
        <v>261</v>
      </c>
      <c r="I215" s="204" t="s">
        <v>296</v>
      </c>
      <c r="J215" s="204" t="s">
        <v>297</v>
      </c>
      <c r="K215" s="204" t="s">
        <v>42</v>
      </c>
      <c r="L215" s="204" t="str">
        <f>VLOOKUP(K:K,供应商清单!$A:$B,2,0)</f>
        <v>众博</v>
      </c>
      <c r="M215" s="204" t="s">
        <v>298</v>
      </c>
      <c r="N215" s="204">
        <v>10001161297324</v>
      </c>
      <c r="O215" s="204">
        <v>71000121050591</v>
      </c>
      <c r="P215" s="206"/>
    </row>
    <row r="216" ht="14.25" spans="1:16">
      <c r="A216" s="200">
        <v>4753</v>
      </c>
      <c r="B216" s="201" t="s">
        <v>174</v>
      </c>
      <c r="C216" s="202">
        <v>44378.7774537037</v>
      </c>
      <c r="D216" s="202">
        <v>44378.7779166667</v>
      </c>
      <c r="E216" s="203" t="s">
        <v>321</v>
      </c>
      <c r="F216" s="204" t="s">
        <v>318</v>
      </c>
      <c r="G216" s="204">
        <v>20</v>
      </c>
      <c r="H216" s="203" t="s">
        <v>261</v>
      </c>
      <c r="I216" s="204" t="s">
        <v>296</v>
      </c>
      <c r="J216" s="204" t="s">
        <v>297</v>
      </c>
      <c r="K216" s="204" t="s">
        <v>42</v>
      </c>
      <c r="L216" s="204" t="str">
        <f>VLOOKUP(K:K,供应商清单!$A:$B,2,0)</f>
        <v>众博</v>
      </c>
      <c r="M216" s="204" t="s">
        <v>298</v>
      </c>
      <c r="N216" s="204">
        <v>10001161297324</v>
      </c>
      <c r="O216" s="204">
        <v>71000121050591</v>
      </c>
      <c r="P216" s="206"/>
    </row>
    <row r="217" ht="14.25" spans="1:16">
      <c r="A217" s="200">
        <v>4754</v>
      </c>
      <c r="B217" s="201" t="s">
        <v>174</v>
      </c>
      <c r="C217" s="202">
        <v>44378.7774537037</v>
      </c>
      <c r="D217" s="202">
        <v>44378.7779166667</v>
      </c>
      <c r="E217" s="203" t="s">
        <v>308</v>
      </c>
      <c r="F217" s="204" t="s">
        <v>309</v>
      </c>
      <c r="G217" s="204">
        <v>3072</v>
      </c>
      <c r="H217" s="203" t="s">
        <v>261</v>
      </c>
      <c r="I217" s="204" t="s">
        <v>296</v>
      </c>
      <c r="J217" s="204" t="s">
        <v>297</v>
      </c>
      <c r="K217" s="204" t="s">
        <v>42</v>
      </c>
      <c r="L217" s="204" t="str">
        <f>VLOOKUP(K:K,供应商清单!$A:$B,2,0)</f>
        <v>众博</v>
      </c>
      <c r="M217" s="204" t="s">
        <v>298</v>
      </c>
      <c r="N217" s="204">
        <v>10001161297325</v>
      </c>
      <c r="O217" s="204">
        <v>71000121052702</v>
      </c>
      <c r="P217" s="206"/>
    </row>
    <row r="218" ht="14.25" spans="1:16">
      <c r="A218" s="200">
        <v>4755</v>
      </c>
      <c r="B218" s="201" t="s">
        <v>174</v>
      </c>
      <c r="C218" s="202">
        <v>44378.7774537037</v>
      </c>
      <c r="D218" s="202">
        <v>44378.7779166667</v>
      </c>
      <c r="E218" s="203" t="s">
        <v>322</v>
      </c>
      <c r="F218" s="204" t="s">
        <v>323</v>
      </c>
      <c r="G218" s="204">
        <v>35</v>
      </c>
      <c r="H218" s="203" t="s">
        <v>261</v>
      </c>
      <c r="I218" s="204" t="s">
        <v>296</v>
      </c>
      <c r="J218" s="204" t="s">
        <v>297</v>
      </c>
      <c r="K218" s="204" t="s">
        <v>42</v>
      </c>
      <c r="L218" s="204" t="str">
        <f>VLOOKUP(K:K,供应商清单!$A:$B,2,0)</f>
        <v>众博</v>
      </c>
      <c r="M218" s="204" t="s">
        <v>298</v>
      </c>
      <c r="N218" s="204">
        <v>10001161297326</v>
      </c>
      <c r="O218" s="204">
        <v>71000121050312</v>
      </c>
      <c r="P218" s="206"/>
    </row>
    <row r="219" ht="14.25" spans="1:16">
      <c r="A219" s="200">
        <v>4756</v>
      </c>
      <c r="B219" s="201" t="s">
        <v>174</v>
      </c>
      <c r="C219" s="202">
        <v>44378.7776273148</v>
      </c>
      <c r="D219" s="202">
        <v>44378.7779166667</v>
      </c>
      <c r="E219" s="203" t="s">
        <v>322</v>
      </c>
      <c r="F219" s="204" t="s">
        <v>323</v>
      </c>
      <c r="G219" s="204">
        <v>1000</v>
      </c>
      <c r="H219" s="203" t="s">
        <v>261</v>
      </c>
      <c r="I219" s="204" t="s">
        <v>296</v>
      </c>
      <c r="J219" s="204" t="s">
        <v>297</v>
      </c>
      <c r="K219" s="204" t="s">
        <v>42</v>
      </c>
      <c r="L219" s="204" t="str">
        <f>VLOOKUP(K:K,供应商清单!$A:$B,2,0)</f>
        <v>众博</v>
      </c>
      <c r="M219" s="204" t="s">
        <v>298</v>
      </c>
      <c r="N219" s="204">
        <v>10001161297326</v>
      </c>
      <c r="O219" s="204">
        <v>71000121050312</v>
      </c>
      <c r="P219" s="206"/>
    </row>
    <row r="220" ht="14.25" spans="1:16">
      <c r="A220" s="200">
        <v>4757</v>
      </c>
      <c r="B220" s="201" t="s">
        <v>174</v>
      </c>
      <c r="C220" s="202">
        <v>44378.7776273148</v>
      </c>
      <c r="D220" s="202">
        <v>44378.7779166667</v>
      </c>
      <c r="E220" s="203" t="s">
        <v>322</v>
      </c>
      <c r="F220" s="204" t="s">
        <v>323</v>
      </c>
      <c r="G220" s="204">
        <v>165</v>
      </c>
      <c r="H220" s="203" t="s">
        <v>261</v>
      </c>
      <c r="I220" s="204" t="s">
        <v>296</v>
      </c>
      <c r="J220" s="204" t="s">
        <v>297</v>
      </c>
      <c r="K220" s="204" t="s">
        <v>42</v>
      </c>
      <c r="L220" s="204" t="str">
        <f>VLOOKUP(K:K,供应商清单!$A:$B,2,0)</f>
        <v>众博</v>
      </c>
      <c r="M220" s="204" t="s">
        <v>298</v>
      </c>
      <c r="N220" s="204">
        <v>10001161297326</v>
      </c>
      <c r="O220" s="204">
        <v>71000121042039</v>
      </c>
      <c r="P220" s="206"/>
    </row>
    <row r="221" ht="14.25" spans="1:16">
      <c r="A221" s="200">
        <v>4758</v>
      </c>
      <c r="B221" s="201" t="s">
        <v>174</v>
      </c>
      <c r="C221" s="202">
        <v>44378.7776388889</v>
      </c>
      <c r="D221" s="202">
        <v>44378.7779166667</v>
      </c>
      <c r="E221" s="203" t="s">
        <v>308</v>
      </c>
      <c r="F221" s="204" t="s">
        <v>309</v>
      </c>
      <c r="G221" s="204">
        <v>2688</v>
      </c>
      <c r="H221" s="203" t="s">
        <v>261</v>
      </c>
      <c r="I221" s="204" t="s">
        <v>296</v>
      </c>
      <c r="J221" s="204" t="s">
        <v>297</v>
      </c>
      <c r="K221" s="204" t="s">
        <v>42</v>
      </c>
      <c r="L221" s="204" t="str">
        <f>VLOOKUP(K:K,供应商清单!$A:$B,2,0)</f>
        <v>众博</v>
      </c>
      <c r="M221" s="204" t="s">
        <v>298</v>
      </c>
      <c r="N221" s="204">
        <v>10001161297327</v>
      </c>
      <c r="O221" s="204">
        <v>71000121052702</v>
      </c>
      <c r="P221" s="206"/>
    </row>
    <row r="222" ht="14.25" spans="1:16">
      <c r="A222" s="200">
        <v>4759</v>
      </c>
      <c r="B222" s="201" t="s">
        <v>174</v>
      </c>
      <c r="C222" s="202">
        <v>44378.7776388889</v>
      </c>
      <c r="D222" s="202">
        <v>44378.7779282407</v>
      </c>
      <c r="E222" s="203" t="s">
        <v>321</v>
      </c>
      <c r="F222" s="204" t="s">
        <v>318</v>
      </c>
      <c r="G222" s="204">
        <v>556</v>
      </c>
      <c r="H222" s="203" t="s">
        <v>261</v>
      </c>
      <c r="I222" s="204" t="s">
        <v>296</v>
      </c>
      <c r="J222" s="204" t="s">
        <v>297</v>
      </c>
      <c r="K222" s="204" t="s">
        <v>42</v>
      </c>
      <c r="L222" s="204" t="str">
        <f>VLOOKUP(K:K,供应商清单!$A:$B,2,0)</f>
        <v>众博</v>
      </c>
      <c r="M222" s="204" t="s">
        <v>298</v>
      </c>
      <c r="N222" s="204">
        <v>10001161297328</v>
      </c>
      <c r="O222" s="204">
        <v>71000121052488</v>
      </c>
      <c r="P222" s="206"/>
    </row>
    <row r="223" ht="14.25" spans="1:16">
      <c r="A223" s="200">
        <v>4760</v>
      </c>
      <c r="B223" s="201" t="s">
        <v>174</v>
      </c>
      <c r="C223" s="202">
        <v>44378.777650463</v>
      </c>
      <c r="D223" s="202">
        <v>44378.7779282407</v>
      </c>
      <c r="E223" s="203" t="s">
        <v>321</v>
      </c>
      <c r="F223" s="204" t="s">
        <v>318</v>
      </c>
      <c r="G223" s="204">
        <v>420</v>
      </c>
      <c r="H223" s="203" t="s">
        <v>261</v>
      </c>
      <c r="I223" s="204" t="s">
        <v>296</v>
      </c>
      <c r="J223" s="204" t="s">
        <v>297</v>
      </c>
      <c r="K223" s="204" t="s">
        <v>42</v>
      </c>
      <c r="L223" s="204" t="str">
        <f>VLOOKUP(K:K,供应商清单!$A:$B,2,0)</f>
        <v>众博</v>
      </c>
      <c r="M223" s="204" t="s">
        <v>298</v>
      </c>
      <c r="N223" s="204">
        <v>10001161297328</v>
      </c>
      <c r="O223" s="204">
        <v>71000121051930</v>
      </c>
      <c r="P223" s="206"/>
    </row>
    <row r="224" ht="14.25" spans="1:16">
      <c r="A224" s="200">
        <v>4761</v>
      </c>
      <c r="B224" s="201" t="s">
        <v>174</v>
      </c>
      <c r="C224" s="202">
        <v>44378.777662037</v>
      </c>
      <c r="D224" s="202">
        <v>44378.7779282407</v>
      </c>
      <c r="E224" s="203" t="s">
        <v>321</v>
      </c>
      <c r="F224" s="204" t="s">
        <v>318</v>
      </c>
      <c r="G224" s="204">
        <v>199</v>
      </c>
      <c r="H224" s="203" t="s">
        <v>261</v>
      </c>
      <c r="I224" s="204" t="s">
        <v>296</v>
      </c>
      <c r="J224" s="204" t="s">
        <v>297</v>
      </c>
      <c r="K224" s="204" t="s">
        <v>42</v>
      </c>
      <c r="L224" s="204" t="str">
        <f>VLOOKUP(K:K,供应商清单!$A:$B,2,0)</f>
        <v>众博</v>
      </c>
      <c r="M224" s="204" t="s">
        <v>298</v>
      </c>
      <c r="N224" s="204">
        <v>10001161297328</v>
      </c>
      <c r="O224" s="204">
        <v>71000121042311</v>
      </c>
      <c r="P224" s="206"/>
    </row>
    <row r="225" ht="14.25" spans="1:16">
      <c r="A225" s="200">
        <v>4762</v>
      </c>
      <c r="B225" s="201" t="s">
        <v>174</v>
      </c>
      <c r="C225" s="202">
        <v>44378.7777314815</v>
      </c>
      <c r="D225" s="202">
        <v>44378.7779282407</v>
      </c>
      <c r="E225" s="203" t="s">
        <v>321</v>
      </c>
      <c r="F225" s="204" t="s">
        <v>318</v>
      </c>
      <c r="G225" s="204">
        <v>505</v>
      </c>
      <c r="H225" s="203" t="s">
        <v>261</v>
      </c>
      <c r="I225" s="204" t="s">
        <v>296</v>
      </c>
      <c r="J225" s="204" t="s">
        <v>297</v>
      </c>
      <c r="K225" s="204" t="s">
        <v>42</v>
      </c>
      <c r="L225" s="204" t="str">
        <f>VLOOKUP(K:K,供应商清单!$A:$B,2,0)</f>
        <v>众博</v>
      </c>
      <c r="M225" s="204" t="s">
        <v>298</v>
      </c>
      <c r="N225" s="204">
        <v>10001161297328</v>
      </c>
      <c r="O225" s="204">
        <v>71000121042311</v>
      </c>
      <c r="P225" s="206"/>
    </row>
    <row r="226" ht="14.25" spans="1:16">
      <c r="A226" s="200">
        <v>4763</v>
      </c>
      <c r="B226" s="201" t="s">
        <v>174</v>
      </c>
      <c r="C226" s="202">
        <v>44378.7777314815</v>
      </c>
      <c r="D226" s="202">
        <v>44378.7779282407</v>
      </c>
      <c r="E226" s="203" t="s">
        <v>314</v>
      </c>
      <c r="F226" s="204" t="s">
        <v>315</v>
      </c>
      <c r="G226" s="204">
        <v>457</v>
      </c>
      <c r="H226" s="203" t="s">
        <v>261</v>
      </c>
      <c r="I226" s="204" t="s">
        <v>296</v>
      </c>
      <c r="J226" s="204" t="s">
        <v>297</v>
      </c>
      <c r="K226" s="204" t="s">
        <v>42</v>
      </c>
      <c r="L226" s="204" t="str">
        <f>VLOOKUP(K:K,供应商清单!$A:$B,2,0)</f>
        <v>众博</v>
      </c>
      <c r="M226" s="204" t="s">
        <v>298</v>
      </c>
      <c r="N226" s="204">
        <v>10001161297329</v>
      </c>
      <c r="O226" s="204">
        <v>71000121051930</v>
      </c>
      <c r="P226" s="206"/>
    </row>
    <row r="227" ht="14.25" spans="1:16">
      <c r="A227" s="200">
        <v>4764</v>
      </c>
      <c r="B227" s="201" t="s">
        <v>174</v>
      </c>
      <c r="C227" s="202">
        <v>44378.7777314815</v>
      </c>
      <c r="D227" s="202">
        <v>44378.7779282407</v>
      </c>
      <c r="E227" s="203" t="s">
        <v>314</v>
      </c>
      <c r="F227" s="204" t="s">
        <v>315</v>
      </c>
      <c r="G227" s="204">
        <v>543</v>
      </c>
      <c r="H227" s="203" t="s">
        <v>261</v>
      </c>
      <c r="I227" s="204" t="s">
        <v>296</v>
      </c>
      <c r="J227" s="204" t="s">
        <v>297</v>
      </c>
      <c r="K227" s="204" t="s">
        <v>42</v>
      </c>
      <c r="L227" s="204" t="str">
        <f>VLOOKUP(K:K,供应商清单!$A:$B,2,0)</f>
        <v>众博</v>
      </c>
      <c r="M227" s="204" t="s">
        <v>298</v>
      </c>
      <c r="N227" s="204">
        <v>10001161297329</v>
      </c>
      <c r="O227" s="204">
        <v>71000120122070</v>
      </c>
      <c r="P227" s="206"/>
    </row>
    <row r="228" ht="14.25" spans="1:16">
      <c r="A228" s="200">
        <v>5000</v>
      </c>
      <c r="B228" s="201" t="s">
        <v>174</v>
      </c>
      <c r="C228" s="202">
        <v>44391.7905439815</v>
      </c>
      <c r="D228" s="202">
        <v>44391.7920717593</v>
      </c>
      <c r="E228" s="203" t="s">
        <v>300</v>
      </c>
      <c r="F228" s="204" t="s">
        <v>220</v>
      </c>
      <c r="G228" s="204">
        <v>7000</v>
      </c>
      <c r="H228" s="203" t="s">
        <v>261</v>
      </c>
      <c r="I228" s="204" t="s">
        <v>296</v>
      </c>
      <c r="J228" s="204" t="s">
        <v>297</v>
      </c>
      <c r="K228" s="204" t="s">
        <v>40</v>
      </c>
      <c r="L228" s="204" t="str">
        <f>VLOOKUP(K:K,供应商清单!$A:$B,2,0)</f>
        <v>镒沣</v>
      </c>
      <c r="M228" s="204" t="s">
        <v>298</v>
      </c>
      <c r="N228" s="204">
        <v>10001161299011</v>
      </c>
      <c r="O228" s="204">
        <v>71000121051977</v>
      </c>
      <c r="P228" s="206"/>
    </row>
    <row r="229" ht="14.25" spans="1:16">
      <c r="A229" s="200">
        <v>5009</v>
      </c>
      <c r="B229" s="201" t="s">
        <v>174</v>
      </c>
      <c r="C229" s="202">
        <v>44391.7908564815</v>
      </c>
      <c r="D229" s="202">
        <v>44391.7920833333</v>
      </c>
      <c r="E229" s="203" t="s">
        <v>326</v>
      </c>
      <c r="F229" s="204" t="s">
        <v>229</v>
      </c>
      <c r="G229" s="204">
        <v>1320</v>
      </c>
      <c r="H229" s="203" t="s">
        <v>261</v>
      </c>
      <c r="I229" s="204" t="s">
        <v>296</v>
      </c>
      <c r="J229" s="204" t="s">
        <v>297</v>
      </c>
      <c r="K229" s="204" t="s">
        <v>38</v>
      </c>
      <c r="L229" s="204" t="str">
        <f>VLOOKUP(K:K,供应商清单!$A:$B,2,0)</f>
        <v>优云</v>
      </c>
      <c r="M229" s="204" t="s">
        <v>298</v>
      </c>
      <c r="N229" s="204">
        <v>10001161299098</v>
      </c>
      <c r="O229" s="204">
        <v>71000121051503</v>
      </c>
      <c r="P229" s="206"/>
    </row>
    <row r="230" ht="14.25" spans="1:16">
      <c r="A230" s="200">
        <v>5010</v>
      </c>
      <c r="B230" s="201" t="s">
        <v>174</v>
      </c>
      <c r="C230" s="202">
        <v>44391.7908564815</v>
      </c>
      <c r="D230" s="202">
        <v>44391.7920833333</v>
      </c>
      <c r="E230" s="203" t="s">
        <v>330</v>
      </c>
      <c r="F230" s="204" t="s">
        <v>315</v>
      </c>
      <c r="G230" s="204">
        <v>1525</v>
      </c>
      <c r="H230" s="203" t="s">
        <v>261</v>
      </c>
      <c r="I230" s="204" t="s">
        <v>296</v>
      </c>
      <c r="J230" s="204" t="s">
        <v>297</v>
      </c>
      <c r="K230" s="204" t="s">
        <v>38</v>
      </c>
      <c r="L230" s="204" t="str">
        <f>VLOOKUP(K:K,供应商清单!$A:$B,2,0)</f>
        <v>优云</v>
      </c>
      <c r="M230" s="204" t="s">
        <v>303</v>
      </c>
      <c r="N230" s="204">
        <v>10001161299099</v>
      </c>
      <c r="O230" s="204">
        <v>71000121061389</v>
      </c>
      <c r="P230" s="206"/>
    </row>
    <row r="231" ht="14.25" spans="1:16">
      <c r="A231" s="200">
        <v>5011</v>
      </c>
      <c r="B231" s="201" t="s">
        <v>174</v>
      </c>
      <c r="C231" s="202">
        <v>44391.7908680556</v>
      </c>
      <c r="D231" s="202">
        <v>44391.7920949074</v>
      </c>
      <c r="E231" s="203" t="s">
        <v>325</v>
      </c>
      <c r="F231" s="204" t="s">
        <v>220</v>
      </c>
      <c r="G231" s="204">
        <v>780</v>
      </c>
      <c r="H231" s="203" t="s">
        <v>261</v>
      </c>
      <c r="I231" s="204" t="s">
        <v>296</v>
      </c>
      <c r="J231" s="204" t="s">
        <v>297</v>
      </c>
      <c r="K231" s="204" t="s">
        <v>38</v>
      </c>
      <c r="L231" s="204" t="str">
        <f>VLOOKUP(K:K,供应商清单!$A:$B,2,0)</f>
        <v>优云</v>
      </c>
      <c r="M231" s="204" t="s">
        <v>298</v>
      </c>
      <c r="N231" s="204">
        <v>10001161299100</v>
      </c>
      <c r="O231" s="204">
        <v>71000121052594</v>
      </c>
      <c r="P231" s="206"/>
    </row>
    <row r="232" ht="14.25" spans="1:16">
      <c r="A232" s="200">
        <v>5012</v>
      </c>
      <c r="B232" s="201" t="s">
        <v>174</v>
      </c>
      <c r="C232" s="202">
        <v>44391.7908680556</v>
      </c>
      <c r="D232" s="202">
        <v>44391.7920949074</v>
      </c>
      <c r="E232" s="203" t="s">
        <v>325</v>
      </c>
      <c r="F232" s="204" t="s">
        <v>220</v>
      </c>
      <c r="G232" s="204">
        <v>1300</v>
      </c>
      <c r="H232" s="203" t="s">
        <v>261</v>
      </c>
      <c r="I232" s="204" t="s">
        <v>296</v>
      </c>
      <c r="J232" s="204" t="s">
        <v>297</v>
      </c>
      <c r="K232" s="204" t="s">
        <v>38</v>
      </c>
      <c r="L232" s="204" t="str">
        <f>VLOOKUP(K:K,供应商清单!$A:$B,2,0)</f>
        <v>优云</v>
      </c>
      <c r="M232" s="204" t="s">
        <v>298</v>
      </c>
      <c r="N232" s="204">
        <v>10001161299100</v>
      </c>
      <c r="O232" s="204">
        <v>71000121051894</v>
      </c>
      <c r="P232" s="206"/>
    </row>
    <row r="233" ht="14.25" spans="1:16">
      <c r="A233" s="200">
        <v>5013</v>
      </c>
      <c r="B233" s="201" t="s">
        <v>174</v>
      </c>
      <c r="C233" s="202">
        <v>44391.7908796296</v>
      </c>
      <c r="D233" s="202">
        <v>44391.7920949074</v>
      </c>
      <c r="E233" s="203" t="s">
        <v>324</v>
      </c>
      <c r="F233" s="204" t="s">
        <v>220</v>
      </c>
      <c r="G233" s="204">
        <v>2040</v>
      </c>
      <c r="H233" s="203" t="s">
        <v>261</v>
      </c>
      <c r="I233" s="204" t="s">
        <v>296</v>
      </c>
      <c r="J233" s="204" t="s">
        <v>297</v>
      </c>
      <c r="K233" s="204" t="s">
        <v>38</v>
      </c>
      <c r="L233" s="204" t="str">
        <f>VLOOKUP(K:K,供应商清单!$A:$B,2,0)</f>
        <v>优云</v>
      </c>
      <c r="M233" s="204" t="s">
        <v>298</v>
      </c>
      <c r="N233" s="204">
        <v>10001161299102</v>
      </c>
      <c r="O233" s="204">
        <v>71000121052003</v>
      </c>
      <c r="P233" s="206"/>
    </row>
    <row r="234" ht="14.25" spans="1:16">
      <c r="A234" s="200">
        <v>5014</v>
      </c>
      <c r="B234" s="201" t="s">
        <v>174</v>
      </c>
      <c r="C234" s="202">
        <v>44391.7908796296</v>
      </c>
      <c r="D234" s="202">
        <v>44391.7920949074</v>
      </c>
      <c r="E234" s="203" t="s">
        <v>337</v>
      </c>
      <c r="F234" s="204" t="s">
        <v>315</v>
      </c>
      <c r="G234" s="204">
        <v>1120</v>
      </c>
      <c r="H234" s="203" t="s">
        <v>261</v>
      </c>
      <c r="I234" s="204" t="s">
        <v>296</v>
      </c>
      <c r="J234" s="204" t="s">
        <v>297</v>
      </c>
      <c r="K234" s="204" t="s">
        <v>38</v>
      </c>
      <c r="L234" s="204" t="str">
        <f>VLOOKUP(K:K,供应商清单!$A:$B,2,0)</f>
        <v>优云</v>
      </c>
      <c r="M234" s="204" t="s">
        <v>303</v>
      </c>
      <c r="N234" s="204">
        <v>10001161299101</v>
      </c>
      <c r="O234" s="204">
        <v>71000121061527</v>
      </c>
      <c r="P234" s="206"/>
    </row>
    <row r="235" ht="14.25" spans="1:16">
      <c r="A235" s="200">
        <v>5073</v>
      </c>
      <c r="B235" s="201" t="s">
        <v>174</v>
      </c>
      <c r="C235" s="202">
        <v>44391.7918518518</v>
      </c>
      <c r="D235" s="202">
        <v>44391.7921643518</v>
      </c>
      <c r="E235" s="203" t="s">
        <v>311</v>
      </c>
      <c r="F235" s="204" t="s">
        <v>229</v>
      </c>
      <c r="G235" s="204">
        <v>1620</v>
      </c>
      <c r="H235" s="203" t="s">
        <v>261</v>
      </c>
      <c r="I235" s="204" t="s">
        <v>296</v>
      </c>
      <c r="J235" s="204" t="s">
        <v>297</v>
      </c>
      <c r="K235" s="204" t="s">
        <v>40</v>
      </c>
      <c r="L235" s="204" t="str">
        <f>VLOOKUP(K:K,供应商清单!$A:$B,2,0)</f>
        <v>镒沣</v>
      </c>
      <c r="M235" s="204" t="s">
        <v>298</v>
      </c>
      <c r="N235" s="204">
        <v>10001161298946</v>
      </c>
      <c r="O235" s="204">
        <v>71000121052679</v>
      </c>
      <c r="P235" s="206"/>
    </row>
    <row r="236" ht="14.25" spans="1:16">
      <c r="A236" s="200">
        <v>5074</v>
      </c>
      <c r="B236" s="201" t="s">
        <v>174</v>
      </c>
      <c r="C236" s="202">
        <v>44391.7918634259</v>
      </c>
      <c r="D236" s="202">
        <v>44391.7921643518</v>
      </c>
      <c r="E236" s="203" t="s">
        <v>311</v>
      </c>
      <c r="F236" s="204" t="s">
        <v>229</v>
      </c>
      <c r="G236" s="204">
        <v>4380</v>
      </c>
      <c r="H236" s="203" t="s">
        <v>261</v>
      </c>
      <c r="I236" s="204" t="s">
        <v>296</v>
      </c>
      <c r="J236" s="204" t="s">
        <v>297</v>
      </c>
      <c r="K236" s="204" t="s">
        <v>40</v>
      </c>
      <c r="L236" s="204" t="str">
        <f>VLOOKUP(K:K,供应商清单!$A:$B,2,0)</f>
        <v>镒沣</v>
      </c>
      <c r="M236" s="204" t="s">
        <v>298</v>
      </c>
      <c r="N236" s="204">
        <v>10001161298944</v>
      </c>
      <c r="O236" s="204">
        <v>71000121052679</v>
      </c>
      <c r="P236" s="206"/>
    </row>
    <row r="237" ht="14.25" spans="1:16">
      <c r="A237" s="200">
        <v>5103</v>
      </c>
      <c r="B237" s="201" t="s">
        <v>174</v>
      </c>
      <c r="C237" s="202">
        <v>44378.7777430556</v>
      </c>
      <c r="D237" s="202">
        <v>44378.7779282407</v>
      </c>
      <c r="E237" s="203" t="s">
        <v>321</v>
      </c>
      <c r="F237" s="204" t="s">
        <v>318</v>
      </c>
      <c r="G237" s="204">
        <v>180</v>
      </c>
      <c r="H237" s="203" t="s">
        <v>261</v>
      </c>
      <c r="I237" s="204" t="s">
        <v>296</v>
      </c>
      <c r="J237" s="204" t="s">
        <v>297</v>
      </c>
      <c r="K237" s="204" t="s">
        <v>42</v>
      </c>
      <c r="L237" s="204" t="str">
        <f>VLOOKUP(K:K,供应商清单!$A:$B,2,0)</f>
        <v>众博</v>
      </c>
      <c r="M237" s="204" t="s">
        <v>298</v>
      </c>
      <c r="N237" s="204">
        <v>10001161297324</v>
      </c>
      <c r="O237" s="204">
        <v>71000121042311</v>
      </c>
      <c r="P237" s="206"/>
    </row>
    <row r="238" ht="14.25" spans="1:16">
      <c r="A238" s="200">
        <v>5144</v>
      </c>
      <c r="B238" s="201" t="s">
        <v>174</v>
      </c>
      <c r="C238" s="202">
        <v>44384.3510763889</v>
      </c>
      <c r="D238" s="202">
        <v>44384.3511921296</v>
      </c>
      <c r="E238" s="203" t="s">
        <v>98</v>
      </c>
      <c r="F238" s="204" t="s">
        <v>220</v>
      </c>
      <c r="G238" s="204">
        <v>1170</v>
      </c>
      <c r="H238" s="203" t="s">
        <v>261</v>
      </c>
      <c r="I238" s="204" t="s">
        <v>296</v>
      </c>
      <c r="J238" s="204" t="s">
        <v>297</v>
      </c>
      <c r="K238" s="204" t="s">
        <v>38</v>
      </c>
      <c r="L238" s="204" t="str">
        <f>VLOOKUP(K:K,供应商清单!$A:$B,2,0)</f>
        <v>优云</v>
      </c>
      <c r="M238" s="204" t="s">
        <v>176</v>
      </c>
      <c r="N238" s="204">
        <v>10001161297916</v>
      </c>
      <c r="O238" s="204">
        <v>71000121050637</v>
      </c>
      <c r="P238" s="206"/>
    </row>
    <row r="239" ht="14.25" spans="1:16">
      <c r="A239" s="200">
        <v>5386</v>
      </c>
      <c r="B239" s="201" t="s">
        <v>174</v>
      </c>
      <c r="C239" s="202">
        <v>44383.389525463</v>
      </c>
      <c r="D239" s="202">
        <v>44383.3897453704</v>
      </c>
      <c r="E239" s="203" t="s">
        <v>96</v>
      </c>
      <c r="F239" s="204" t="s">
        <v>220</v>
      </c>
      <c r="G239" s="204">
        <v>907</v>
      </c>
      <c r="H239" s="203" t="s">
        <v>261</v>
      </c>
      <c r="I239" s="204" t="s">
        <v>296</v>
      </c>
      <c r="J239" s="204" t="s">
        <v>297</v>
      </c>
      <c r="K239" s="204" t="s">
        <v>40</v>
      </c>
      <c r="L239" s="204" t="str">
        <f>VLOOKUP(K:K,供应商清单!$A:$B,2,0)</f>
        <v>镒沣</v>
      </c>
      <c r="M239" s="204" t="s">
        <v>176</v>
      </c>
      <c r="N239" s="204">
        <v>10001161297747</v>
      </c>
      <c r="O239" s="204">
        <v>71000121051494</v>
      </c>
      <c r="P239" s="206"/>
    </row>
    <row r="240" ht="14.25" spans="1:16">
      <c r="A240" s="200">
        <v>5793</v>
      </c>
      <c r="B240" s="201" t="s">
        <v>174</v>
      </c>
      <c r="C240" s="202">
        <v>44387.7990972222</v>
      </c>
      <c r="D240" s="202">
        <v>44387.7993518518</v>
      </c>
      <c r="E240" s="203" t="s">
        <v>98</v>
      </c>
      <c r="F240" s="204" t="s">
        <v>220</v>
      </c>
      <c r="G240" s="204">
        <v>1890</v>
      </c>
      <c r="H240" s="203" t="s">
        <v>261</v>
      </c>
      <c r="I240" s="204" t="s">
        <v>296</v>
      </c>
      <c r="J240" s="204" t="s">
        <v>338</v>
      </c>
      <c r="K240" s="204" t="s">
        <v>38</v>
      </c>
      <c r="L240" s="204" t="str">
        <f>VLOOKUP(K:K,供应商清单!$A:$B,2,0)</f>
        <v>优云</v>
      </c>
      <c r="M240" s="204" t="s">
        <v>176</v>
      </c>
      <c r="N240" s="204">
        <v>10001161298521</v>
      </c>
      <c r="O240" s="204">
        <v>71000121050637</v>
      </c>
      <c r="P240" s="206"/>
    </row>
    <row r="241" ht="14.25" spans="1:16">
      <c r="A241" s="200">
        <v>5795</v>
      </c>
      <c r="B241" s="201" t="s">
        <v>174</v>
      </c>
      <c r="C241" s="202">
        <v>44387.7991782407</v>
      </c>
      <c r="D241" s="202">
        <v>44387.7993518518</v>
      </c>
      <c r="E241" s="203" t="s">
        <v>316</v>
      </c>
      <c r="F241" s="204" t="s">
        <v>283</v>
      </c>
      <c r="G241" s="204">
        <v>620</v>
      </c>
      <c r="H241" s="203" t="s">
        <v>261</v>
      </c>
      <c r="I241" s="204" t="s">
        <v>296</v>
      </c>
      <c r="J241" s="204" t="s">
        <v>338</v>
      </c>
      <c r="K241" s="204" t="s">
        <v>42</v>
      </c>
      <c r="L241" s="204" t="str">
        <f>VLOOKUP(K:K,供应商清单!$A:$B,2,0)</f>
        <v>众博</v>
      </c>
      <c r="M241" s="204" t="s">
        <v>298</v>
      </c>
      <c r="N241" s="204">
        <v>10001161298467</v>
      </c>
      <c r="O241" s="204">
        <v>71000121050591</v>
      </c>
      <c r="P241" s="206"/>
    </row>
    <row r="242" ht="14.25" spans="1:16">
      <c r="A242" s="200">
        <v>5796</v>
      </c>
      <c r="B242" s="201" t="s">
        <v>174</v>
      </c>
      <c r="C242" s="202">
        <v>44387.7991782407</v>
      </c>
      <c r="D242" s="202">
        <v>44387.7993518518</v>
      </c>
      <c r="E242" s="203" t="s">
        <v>316</v>
      </c>
      <c r="F242" s="204" t="s">
        <v>283</v>
      </c>
      <c r="G242" s="204">
        <v>900</v>
      </c>
      <c r="H242" s="203" t="s">
        <v>261</v>
      </c>
      <c r="I242" s="204" t="s">
        <v>296</v>
      </c>
      <c r="J242" s="204" t="s">
        <v>338</v>
      </c>
      <c r="K242" s="204" t="s">
        <v>42</v>
      </c>
      <c r="L242" s="204" t="str">
        <f>VLOOKUP(K:K,供应商清单!$A:$B,2,0)</f>
        <v>众博</v>
      </c>
      <c r="M242" s="204" t="s">
        <v>298</v>
      </c>
      <c r="N242" s="204">
        <v>10001161298467</v>
      </c>
      <c r="O242" s="204">
        <v>71000121061060</v>
      </c>
      <c r="P242" s="206"/>
    </row>
    <row r="243" ht="14.25" spans="1:16">
      <c r="A243" s="200">
        <v>5797</v>
      </c>
      <c r="B243" s="201" t="s">
        <v>174</v>
      </c>
      <c r="C243" s="202">
        <v>44387.7991782407</v>
      </c>
      <c r="D243" s="202">
        <v>44387.7993518518</v>
      </c>
      <c r="E243" s="203" t="s">
        <v>316</v>
      </c>
      <c r="F243" s="204" t="s">
        <v>283</v>
      </c>
      <c r="G243" s="204">
        <v>1200</v>
      </c>
      <c r="H243" s="203" t="s">
        <v>261</v>
      </c>
      <c r="I243" s="204" t="s">
        <v>296</v>
      </c>
      <c r="J243" s="204" t="s">
        <v>338</v>
      </c>
      <c r="K243" s="204" t="s">
        <v>42</v>
      </c>
      <c r="L243" s="204" t="str">
        <f>VLOOKUP(K:K,供应商清单!$A:$B,2,0)</f>
        <v>众博</v>
      </c>
      <c r="M243" s="204" t="s">
        <v>298</v>
      </c>
      <c r="N243" s="204">
        <v>10001161298467</v>
      </c>
      <c r="O243" s="204">
        <v>71000121062096</v>
      </c>
      <c r="P243" s="206"/>
    </row>
    <row r="244" ht="14.25" spans="1:16">
      <c r="A244" s="200">
        <v>5798</v>
      </c>
      <c r="B244" s="201" t="s">
        <v>174</v>
      </c>
      <c r="C244" s="202">
        <v>44387.799224537</v>
      </c>
      <c r="D244" s="202">
        <v>44387.7993634259</v>
      </c>
      <c r="E244" s="203" t="s">
        <v>317</v>
      </c>
      <c r="F244" s="204" t="s">
        <v>318</v>
      </c>
      <c r="G244" s="204">
        <v>1360</v>
      </c>
      <c r="H244" s="203" t="s">
        <v>261</v>
      </c>
      <c r="I244" s="204" t="s">
        <v>296</v>
      </c>
      <c r="J244" s="204" t="s">
        <v>338</v>
      </c>
      <c r="K244" s="204" t="s">
        <v>42</v>
      </c>
      <c r="L244" s="204" t="str">
        <f>VLOOKUP(K:K,供应商清单!$A:$B,2,0)</f>
        <v>众博</v>
      </c>
      <c r="M244" s="204" t="s">
        <v>298</v>
      </c>
      <c r="N244" s="204">
        <v>10001161298466</v>
      </c>
      <c r="O244" s="204">
        <v>71000121060024</v>
      </c>
      <c r="P244" s="206"/>
    </row>
    <row r="245" ht="14.25" spans="1:16">
      <c r="A245" s="200">
        <v>6147</v>
      </c>
      <c r="B245" s="201" t="s">
        <v>174</v>
      </c>
      <c r="C245" s="202">
        <v>44384.6308449074</v>
      </c>
      <c r="D245" s="202">
        <v>44384.6313194444</v>
      </c>
      <c r="E245" s="203" t="s">
        <v>311</v>
      </c>
      <c r="F245" s="204" t="s">
        <v>229</v>
      </c>
      <c r="G245" s="204">
        <v>1996</v>
      </c>
      <c r="H245" s="203" t="s">
        <v>261</v>
      </c>
      <c r="I245" s="204" t="s">
        <v>296</v>
      </c>
      <c r="J245" s="204" t="s">
        <v>297</v>
      </c>
      <c r="K245" s="204" t="s">
        <v>40</v>
      </c>
      <c r="L245" s="204" t="str">
        <f>VLOOKUP(K:K,供应商清单!$A:$B,2,0)</f>
        <v>镒沣</v>
      </c>
      <c r="M245" s="204" t="s">
        <v>298</v>
      </c>
      <c r="N245" s="204">
        <v>10001161297931</v>
      </c>
      <c r="O245" s="204">
        <v>71000121052679</v>
      </c>
      <c r="P245" s="206"/>
    </row>
    <row r="246" ht="14.25" spans="1:16">
      <c r="A246" s="200">
        <v>6148</v>
      </c>
      <c r="B246" s="201" t="s">
        <v>174</v>
      </c>
      <c r="C246" s="202">
        <v>44384.6308449074</v>
      </c>
      <c r="D246" s="202">
        <v>44384.6313194444</v>
      </c>
      <c r="E246" s="203" t="s">
        <v>311</v>
      </c>
      <c r="F246" s="204" t="s">
        <v>229</v>
      </c>
      <c r="G246" s="204">
        <v>2204</v>
      </c>
      <c r="H246" s="203" t="s">
        <v>261</v>
      </c>
      <c r="I246" s="204" t="s">
        <v>296</v>
      </c>
      <c r="J246" s="204" t="s">
        <v>297</v>
      </c>
      <c r="K246" s="204" t="s">
        <v>40</v>
      </c>
      <c r="L246" s="204" t="str">
        <f>VLOOKUP(K:K,供应商清单!$A:$B,2,0)</f>
        <v>镒沣</v>
      </c>
      <c r="M246" s="204" t="s">
        <v>298</v>
      </c>
      <c r="N246" s="204">
        <v>10001161297931</v>
      </c>
      <c r="O246" s="204">
        <v>71000121052679</v>
      </c>
      <c r="P246" s="206"/>
    </row>
    <row r="247" ht="14.25" spans="1:16">
      <c r="A247" s="200">
        <v>6196</v>
      </c>
      <c r="B247" s="201" t="s">
        <v>174</v>
      </c>
      <c r="C247" s="202">
        <v>44386.4568865741</v>
      </c>
      <c r="D247" s="202">
        <v>44386.4571990741</v>
      </c>
      <c r="E247" s="203" t="s">
        <v>300</v>
      </c>
      <c r="F247" s="204" t="s">
        <v>220</v>
      </c>
      <c r="G247" s="204">
        <v>4500</v>
      </c>
      <c r="H247" s="203" t="s">
        <v>261</v>
      </c>
      <c r="I247" s="204" t="s">
        <v>296</v>
      </c>
      <c r="J247" s="204" t="s">
        <v>297</v>
      </c>
      <c r="K247" s="204" t="s">
        <v>40</v>
      </c>
      <c r="L247" s="204" t="str">
        <f>VLOOKUP(K:K,供应商清单!$A:$B,2,0)</f>
        <v>镒沣</v>
      </c>
      <c r="M247" s="204" t="s">
        <v>298</v>
      </c>
      <c r="N247" s="204">
        <v>10001161298272</v>
      </c>
      <c r="O247" s="204">
        <v>71000121052679</v>
      </c>
      <c r="P247" s="206"/>
    </row>
    <row r="248" ht="14.25" spans="1:16">
      <c r="A248" s="200">
        <v>6197</v>
      </c>
      <c r="B248" s="201" t="s">
        <v>174</v>
      </c>
      <c r="C248" s="202">
        <v>44386.4568865741</v>
      </c>
      <c r="D248" s="202">
        <v>44386.4571990741</v>
      </c>
      <c r="E248" s="203" t="s">
        <v>72</v>
      </c>
      <c r="F248" s="204" t="s">
        <v>220</v>
      </c>
      <c r="G248" s="204">
        <v>2102</v>
      </c>
      <c r="H248" s="203" t="s">
        <v>261</v>
      </c>
      <c r="I248" s="204" t="s">
        <v>296</v>
      </c>
      <c r="J248" s="204" t="s">
        <v>297</v>
      </c>
      <c r="K248" s="204" t="s">
        <v>30</v>
      </c>
      <c r="L248" s="204" t="str">
        <f>VLOOKUP(K:K,供应商清单!$A:$B,2,0)</f>
        <v>翰森</v>
      </c>
      <c r="M248" s="204" t="s">
        <v>176</v>
      </c>
      <c r="N248" s="204">
        <v>10001161298243</v>
      </c>
      <c r="O248" s="204">
        <v>71000121061983</v>
      </c>
      <c r="P248" s="206"/>
    </row>
    <row r="249" ht="14.25" spans="1:16">
      <c r="A249" s="200">
        <v>6198</v>
      </c>
      <c r="B249" s="201" t="s">
        <v>174</v>
      </c>
      <c r="C249" s="202">
        <v>44386.4568865741</v>
      </c>
      <c r="D249" s="202">
        <v>44386.4571990741</v>
      </c>
      <c r="E249" s="203" t="s">
        <v>103</v>
      </c>
      <c r="F249" s="204" t="s">
        <v>220</v>
      </c>
      <c r="G249" s="204">
        <v>1100</v>
      </c>
      <c r="H249" s="203" t="s">
        <v>261</v>
      </c>
      <c r="I249" s="204" t="s">
        <v>296</v>
      </c>
      <c r="J249" s="204" t="s">
        <v>297</v>
      </c>
      <c r="K249" s="204" t="s">
        <v>18</v>
      </c>
      <c r="L249" s="204" t="str">
        <f>VLOOKUP(K:K,供应商清单!$A:$B,2,0)</f>
        <v>中扬</v>
      </c>
      <c r="M249" s="204" t="s">
        <v>176</v>
      </c>
      <c r="N249" s="204">
        <v>10001161298244</v>
      </c>
      <c r="O249" s="204">
        <v>71000121061307</v>
      </c>
      <c r="P249" s="206"/>
    </row>
    <row r="250" ht="14.25" spans="1:16">
      <c r="A250" s="200">
        <v>6199</v>
      </c>
      <c r="B250" s="201" t="s">
        <v>174</v>
      </c>
      <c r="C250" s="202">
        <v>44386.4568865741</v>
      </c>
      <c r="D250" s="202">
        <v>44386.4571990741</v>
      </c>
      <c r="E250" s="203" t="s">
        <v>94</v>
      </c>
      <c r="F250" s="204" t="s">
        <v>220</v>
      </c>
      <c r="G250" s="204">
        <v>2000</v>
      </c>
      <c r="H250" s="203" t="s">
        <v>261</v>
      </c>
      <c r="I250" s="204" t="s">
        <v>296</v>
      </c>
      <c r="J250" s="204" t="s">
        <v>297</v>
      </c>
      <c r="K250" s="204" t="s">
        <v>23</v>
      </c>
      <c r="L250" s="204" t="str">
        <f>VLOOKUP(K:K,供应商清单!$A:$B,2,0)</f>
        <v>天沃</v>
      </c>
      <c r="M250" s="204" t="s">
        <v>176</v>
      </c>
      <c r="N250" s="204">
        <v>10001161298245</v>
      </c>
      <c r="O250" s="204">
        <v>71000121052599</v>
      </c>
      <c r="P250" s="206"/>
    </row>
    <row r="251" ht="14.25" spans="1:16">
      <c r="A251" s="200">
        <v>6200</v>
      </c>
      <c r="B251" s="201" t="s">
        <v>174</v>
      </c>
      <c r="C251" s="202">
        <v>44386.4568865741</v>
      </c>
      <c r="D251" s="202">
        <v>44386.4572106482</v>
      </c>
      <c r="E251" s="203" t="s">
        <v>94</v>
      </c>
      <c r="F251" s="204" t="s">
        <v>220</v>
      </c>
      <c r="G251" s="204">
        <v>2357</v>
      </c>
      <c r="H251" s="203" t="s">
        <v>261</v>
      </c>
      <c r="I251" s="204" t="s">
        <v>296</v>
      </c>
      <c r="J251" s="204" t="s">
        <v>297</v>
      </c>
      <c r="K251" s="204" t="s">
        <v>23</v>
      </c>
      <c r="L251" s="204" t="str">
        <f>VLOOKUP(K:K,供应商清单!$A:$B,2,0)</f>
        <v>天沃</v>
      </c>
      <c r="M251" s="204" t="s">
        <v>176</v>
      </c>
      <c r="N251" s="204">
        <v>10001161298246</v>
      </c>
      <c r="O251" s="204">
        <v>71000121052686</v>
      </c>
      <c r="P251" s="206"/>
    </row>
    <row r="252" ht="14.25" spans="1:16">
      <c r="A252" s="200">
        <v>6201</v>
      </c>
      <c r="B252" s="201" t="s">
        <v>174</v>
      </c>
      <c r="C252" s="202">
        <v>44386.4568981481</v>
      </c>
      <c r="D252" s="202">
        <v>44386.4572106482</v>
      </c>
      <c r="E252" s="203" t="s">
        <v>69</v>
      </c>
      <c r="F252" s="204" t="s">
        <v>220</v>
      </c>
      <c r="G252" s="204">
        <v>1543</v>
      </c>
      <c r="H252" s="203" t="s">
        <v>261</v>
      </c>
      <c r="I252" s="204" t="s">
        <v>296</v>
      </c>
      <c r="J252" s="204" t="s">
        <v>297</v>
      </c>
      <c r="K252" s="204" t="s">
        <v>53</v>
      </c>
      <c r="L252" s="204" t="str">
        <f>VLOOKUP(K:K,供应商清单!$A:$B,2,0)</f>
        <v>东睿</v>
      </c>
      <c r="M252" s="204" t="s">
        <v>176</v>
      </c>
      <c r="N252" s="204">
        <v>10001161298247</v>
      </c>
      <c r="O252" s="204">
        <v>71000121062076</v>
      </c>
      <c r="P252" s="206"/>
    </row>
    <row r="253" ht="14.25" spans="1:16">
      <c r="A253" s="200">
        <v>6258</v>
      </c>
      <c r="B253" s="201" t="s">
        <v>174</v>
      </c>
      <c r="C253" s="202">
        <v>44383.5556481481</v>
      </c>
      <c r="D253" s="202">
        <v>44383.5559953704</v>
      </c>
      <c r="E253" s="203" t="s">
        <v>299</v>
      </c>
      <c r="F253" s="204" t="s">
        <v>256</v>
      </c>
      <c r="G253" s="204">
        <v>4900</v>
      </c>
      <c r="H253" s="203" t="s">
        <v>261</v>
      </c>
      <c r="I253" s="204" t="s">
        <v>296</v>
      </c>
      <c r="J253" s="204" t="s">
        <v>297</v>
      </c>
      <c r="K253" s="204" t="s">
        <v>40</v>
      </c>
      <c r="L253" s="204" t="str">
        <f>VLOOKUP(K:K,供应商清单!$A:$B,2,0)</f>
        <v>镒沣</v>
      </c>
      <c r="M253" s="204" t="s">
        <v>298</v>
      </c>
      <c r="N253" s="204">
        <v>10001161297793</v>
      </c>
      <c r="O253" s="204">
        <v>71000121061491</v>
      </c>
      <c r="P253" s="206"/>
    </row>
    <row r="254" ht="14.25" spans="1:16">
      <c r="A254" s="200">
        <v>6259</v>
      </c>
      <c r="B254" s="201" t="s">
        <v>174</v>
      </c>
      <c r="C254" s="202">
        <v>44383.5556597222</v>
      </c>
      <c r="D254" s="202">
        <v>44383.5559953704</v>
      </c>
      <c r="E254" s="203" t="s">
        <v>300</v>
      </c>
      <c r="F254" s="204" t="s">
        <v>220</v>
      </c>
      <c r="G254" s="204">
        <v>2100</v>
      </c>
      <c r="H254" s="203" t="s">
        <v>261</v>
      </c>
      <c r="I254" s="204" t="s">
        <v>296</v>
      </c>
      <c r="J254" s="204" t="s">
        <v>297</v>
      </c>
      <c r="K254" s="204" t="s">
        <v>40</v>
      </c>
      <c r="L254" s="204" t="str">
        <f>VLOOKUP(K:K,供应商清单!$A:$B,2,0)</f>
        <v>镒沣</v>
      </c>
      <c r="M254" s="204" t="s">
        <v>298</v>
      </c>
      <c r="N254" s="204">
        <v>10001161297792</v>
      </c>
      <c r="O254" s="204">
        <v>71000121052580</v>
      </c>
      <c r="P254" s="206"/>
    </row>
    <row r="255" ht="14.25" spans="1:16">
      <c r="A255" s="200">
        <v>6261</v>
      </c>
      <c r="B255" s="201" t="s">
        <v>174</v>
      </c>
      <c r="C255" s="202">
        <v>44383.5556597222</v>
      </c>
      <c r="D255" s="202">
        <v>44383.5560069444</v>
      </c>
      <c r="E255" s="203" t="s">
        <v>98</v>
      </c>
      <c r="F255" s="204" t="s">
        <v>220</v>
      </c>
      <c r="G255" s="204">
        <v>686</v>
      </c>
      <c r="H255" s="203" t="s">
        <v>261</v>
      </c>
      <c r="I255" s="204" t="s">
        <v>296</v>
      </c>
      <c r="J255" s="204" t="s">
        <v>297</v>
      </c>
      <c r="K255" s="204" t="s">
        <v>38</v>
      </c>
      <c r="L255" s="204" t="str">
        <f>VLOOKUP(K:K,供应商清单!$A:$B,2,0)</f>
        <v>优云</v>
      </c>
      <c r="M255" s="204" t="s">
        <v>176</v>
      </c>
      <c r="N255" s="204">
        <v>10001161297789</v>
      </c>
      <c r="O255" s="204">
        <v>71000121050637</v>
      </c>
      <c r="P255" s="206"/>
    </row>
    <row r="256" ht="14.25" spans="1:16">
      <c r="A256" s="200">
        <v>6262</v>
      </c>
      <c r="B256" s="201" t="s">
        <v>174</v>
      </c>
      <c r="C256" s="202">
        <v>44383.5556597222</v>
      </c>
      <c r="D256" s="202">
        <v>44383.5560069444</v>
      </c>
      <c r="E256" s="203" t="s">
        <v>71</v>
      </c>
      <c r="F256" s="204" t="s">
        <v>220</v>
      </c>
      <c r="G256" s="204">
        <v>984</v>
      </c>
      <c r="H256" s="203" t="s">
        <v>261</v>
      </c>
      <c r="I256" s="204" t="s">
        <v>296</v>
      </c>
      <c r="J256" s="204" t="s">
        <v>297</v>
      </c>
      <c r="K256" s="204" t="s">
        <v>30</v>
      </c>
      <c r="L256" s="204" t="str">
        <f>VLOOKUP(K:K,供应商清单!$A:$B,2,0)</f>
        <v>翰森</v>
      </c>
      <c r="M256" s="204" t="s">
        <v>176</v>
      </c>
      <c r="N256" s="204">
        <v>10001161297802</v>
      </c>
      <c r="O256" s="204">
        <v>71000121060019</v>
      </c>
      <c r="P256" s="206"/>
    </row>
    <row r="257" ht="14.25" spans="1:16">
      <c r="A257" s="200">
        <v>6263</v>
      </c>
      <c r="B257" s="201" t="s">
        <v>174</v>
      </c>
      <c r="C257" s="202">
        <v>44383.5556597222</v>
      </c>
      <c r="D257" s="202">
        <v>44383.5560069444</v>
      </c>
      <c r="E257" s="203" t="s">
        <v>103</v>
      </c>
      <c r="F257" s="204" t="s">
        <v>220</v>
      </c>
      <c r="G257" s="204">
        <v>289</v>
      </c>
      <c r="H257" s="203" t="s">
        <v>261</v>
      </c>
      <c r="I257" s="204" t="s">
        <v>296</v>
      </c>
      <c r="J257" s="204" t="s">
        <v>297</v>
      </c>
      <c r="K257" s="204" t="s">
        <v>18</v>
      </c>
      <c r="L257" s="204" t="str">
        <f>VLOOKUP(K:K,供应商清单!$A:$B,2,0)</f>
        <v>中扬</v>
      </c>
      <c r="M257" s="204" t="s">
        <v>176</v>
      </c>
      <c r="N257" s="204">
        <v>10001161297805</v>
      </c>
      <c r="O257" s="204">
        <v>71000121061307</v>
      </c>
      <c r="P257" s="206"/>
    </row>
    <row r="258" ht="14.25" spans="1:16">
      <c r="A258" s="200">
        <v>6264</v>
      </c>
      <c r="B258" s="201" t="s">
        <v>174</v>
      </c>
      <c r="C258" s="202">
        <v>44383.5556597222</v>
      </c>
      <c r="D258" s="202">
        <v>44383.5560069444</v>
      </c>
      <c r="E258" s="203" t="s">
        <v>103</v>
      </c>
      <c r="F258" s="204" t="s">
        <v>220</v>
      </c>
      <c r="G258" s="204">
        <v>1991</v>
      </c>
      <c r="H258" s="203" t="s">
        <v>261</v>
      </c>
      <c r="I258" s="204" t="s">
        <v>296</v>
      </c>
      <c r="J258" s="204" t="s">
        <v>297</v>
      </c>
      <c r="K258" s="204" t="s">
        <v>18</v>
      </c>
      <c r="L258" s="204" t="str">
        <f>VLOOKUP(K:K,供应商清单!$A:$B,2,0)</f>
        <v>中扬</v>
      </c>
      <c r="M258" s="204" t="s">
        <v>176</v>
      </c>
      <c r="N258" s="204">
        <v>10001161297805</v>
      </c>
      <c r="O258" s="204">
        <v>71000121061307</v>
      </c>
      <c r="P258" s="206"/>
    </row>
    <row r="259" ht="14.25" spans="1:16">
      <c r="A259" s="200">
        <v>6265</v>
      </c>
      <c r="B259" s="201" t="s">
        <v>174</v>
      </c>
      <c r="C259" s="202">
        <v>44383.5557986111</v>
      </c>
      <c r="D259" s="202">
        <v>44383.5560069444</v>
      </c>
      <c r="E259" s="203" t="s">
        <v>98</v>
      </c>
      <c r="F259" s="204" t="s">
        <v>220</v>
      </c>
      <c r="G259" s="204">
        <v>1128</v>
      </c>
      <c r="H259" s="203" t="s">
        <v>261</v>
      </c>
      <c r="I259" s="204" t="s">
        <v>296</v>
      </c>
      <c r="J259" s="204" t="s">
        <v>297</v>
      </c>
      <c r="K259" s="204" t="s">
        <v>38</v>
      </c>
      <c r="L259" s="204" t="str">
        <f>VLOOKUP(K:K,供应商清单!$A:$B,2,0)</f>
        <v>优云</v>
      </c>
      <c r="M259" s="204" t="s">
        <v>176</v>
      </c>
      <c r="N259" s="204">
        <v>10001161297806</v>
      </c>
      <c r="O259" s="204">
        <v>71000121050637</v>
      </c>
      <c r="P259" s="206"/>
    </row>
    <row r="260" ht="14.25" spans="1:16">
      <c r="A260" s="200">
        <v>6266</v>
      </c>
      <c r="B260" s="201" t="s">
        <v>174</v>
      </c>
      <c r="C260" s="202">
        <v>44383.5557986111</v>
      </c>
      <c r="D260" s="202">
        <v>44383.5560069444</v>
      </c>
      <c r="E260" s="203" t="s">
        <v>317</v>
      </c>
      <c r="F260" s="204" t="s">
        <v>318</v>
      </c>
      <c r="G260" s="204">
        <v>274</v>
      </c>
      <c r="H260" s="203" t="s">
        <v>261</v>
      </c>
      <c r="I260" s="204" t="s">
        <v>296</v>
      </c>
      <c r="J260" s="204" t="s">
        <v>297</v>
      </c>
      <c r="K260" s="204" t="s">
        <v>42</v>
      </c>
      <c r="L260" s="204" t="str">
        <f>VLOOKUP(K:K,供应商清单!$A:$B,2,0)</f>
        <v>众博</v>
      </c>
      <c r="M260" s="204" t="s">
        <v>298</v>
      </c>
      <c r="N260" s="204">
        <v>10001161297807</v>
      </c>
      <c r="O260" s="204">
        <v>71000121052607</v>
      </c>
      <c r="P260" s="206"/>
    </row>
    <row r="261" ht="14.25" spans="1:16">
      <c r="A261" s="200">
        <v>6267</v>
      </c>
      <c r="B261" s="201" t="s">
        <v>174</v>
      </c>
      <c r="C261" s="202">
        <v>44383.5557986111</v>
      </c>
      <c r="D261" s="202">
        <v>44383.5560069444</v>
      </c>
      <c r="E261" s="203" t="s">
        <v>317</v>
      </c>
      <c r="F261" s="204" t="s">
        <v>318</v>
      </c>
      <c r="G261" s="204">
        <v>667</v>
      </c>
      <c r="H261" s="203" t="s">
        <v>261</v>
      </c>
      <c r="I261" s="204" t="s">
        <v>296</v>
      </c>
      <c r="J261" s="204" t="s">
        <v>297</v>
      </c>
      <c r="K261" s="204" t="s">
        <v>42</v>
      </c>
      <c r="L261" s="204" t="str">
        <f>VLOOKUP(K:K,供应商清单!$A:$B,2,0)</f>
        <v>众博</v>
      </c>
      <c r="M261" s="204" t="s">
        <v>298</v>
      </c>
      <c r="N261" s="204">
        <v>10001161297807</v>
      </c>
      <c r="O261" s="204">
        <v>71000121052607</v>
      </c>
      <c r="P261" s="206"/>
    </row>
    <row r="262" ht="14.25" spans="1:16">
      <c r="A262" s="200">
        <v>6268</v>
      </c>
      <c r="B262" s="201" t="s">
        <v>174</v>
      </c>
      <c r="C262" s="202">
        <v>44383.5558101852</v>
      </c>
      <c r="D262" s="202">
        <v>44383.5560069444</v>
      </c>
      <c r="E262" s="203" t="s">
        <v>317</v>
      </c>
      <c r="F262" s="204" t="s">
        <v>318</v>
      </c>
      <c r="G262" s="204">
        <v>242</v>
      </c>
      <c r="H262" s="203" t="s">
        <v>261</v>
      </c>
      <c r="I262" s="204" t="s">
        <v>296</v>
      </c>
      <c r="J262" s="204" t="s">
        <v>297</v>
      </c>
      <c r="K262" s="204" t="s">
        <v>42</v>
      </c>
      <c r="L262" s="204" t="str">
        <f>VLOOKUP(K:K,供应商清单!$A:$B,2,0)</f>
        <v>众博</v>
      </c>
      <c r="M262" s="204" t="s">
        <v>298</v>
      </c>
      <c r="N262" s="204">
        <v>10001161297807</v>
      </c>
      <c r="O262" s="204">
        <v>71000121051930</v>
      </c>
      <c r="P262" s="206"/>
    </row>
    <row r="263" ht="14.25" spans="1:16">
      <c r="A263" s="200">
        <v>6269</v>
      </c>
      <c r="B263" s="201" t="s">
        <v>174</v>
      </c>
      <c r="C263" s="202">
        <v>44383.5558101852</v>
      </c>
      <c r="D263" s="202">
        <v>44383.5560069444</v>
      </c>
      <c r="E263" s="203" t="s">
        <v>317</v>
      </c>
      <c r="F263" s="204" t="s">
        <v>318</v>
      </c>
      <c r="G263" s="204">
        <v>177</v>
      </c>
      <c r="H263" s="203" t="s">
        <v>261</v>
      </c>
      <c r="I263" s="204" t="s">
        <v>296</v>
      </c>
      <c r="J263" s="204" t="s">
        <v>297</v>
      </c>
      <c r="K263" s="204" t="s">
        <v>42</v>
      </c>
      <c r="L263" s="204" t="str">
        <f>VLOOKUP(K:K,供应商清单!$A:$B,2,0)</f>
        <v>众博</v>
      </c>
      <c r="M263" s="204" t="s">
        <v>298</v>
      </c>
      <c r="N263" s="204">
        <v>10001161297807</v>
      </c>
      <c r="O263" s="204">
        <v>71000121051930</v>
      </c>
      <c r="P263" s="206"/>
    </row>
    <row r="264" ht="14.25" spans="1:16">
      <c r="A264" s="200">
        <v>6270</v>
      </c>
      <c r="B264" s="201" t="s">
        <v>174</v>
      </c>
      <c r="C264" s="202">
        <v>44383.5558217593</v>
      </c>
      <c r="D264" s="202">
        <v>44383.5560185185</v>
      </c>
      <c r="E264" s="203" t="s">
        <v>308</v>
      </c>
      <c r="F264" s="204" t="s">
        <v>309</v>
      </c>
      <c r="G264" s="204">
        <v>1800</v>
      </c>
      <c r="H264" s="203" t="s">
        <v>261</v>
      </c>
      <c r="I264" s="204" t="s">
        <v>296</v>
      </c>
      <c r="J264" s="204" t="s">
        <v>297</v>
      </c>
      <c r="K264" s="204" t="s">
        <v>42</v>
      </c>
      <c r="L264" s="204" t="str">
        <f>VLOOKUP(K:K,供应商清单!$A:$B,2,0)</f>
        <v>众博</v>
      </c>
      <c r="M264" s="204" t="s">
        <v>298</v>
      </c>
      <c r="N264" s="204">
        <v>10001161297808</v>
      </c>
      <c r="O264" s="204">
        <v>71000121052607</v>
      </c>
      <c r="P264" s="206"/>
    </row>
    <row r="265" ht="14.25" spans="1:16">
      <c r="A265" s="200">
        <v>6271</v>
      </c>
      <c r="B265" s="201" t="s">
        <v>174</v>
      </c>
      <c r="C265" s="202">
        <v>44383.5558796296</v>
      </c>
      <c r="D265" s="202">
        <v>44383.5560185185</v>
      </c>
      <c r="E265" s="203" t="s">
        <v>308</v>
      </c>
      <c r="F265" s="204" t="s">
        <v>309</v>
      </c>
      <c r="G265" s="204">
        <v>1272</v>
      </c>
      <c r="H265" s="203" t="s">
        <v>261</v>
      </c>
      <c r="I265" s="204" t="s">
        <v>296</v>
      </c>
      <c r="J265" s="204" t="s">
        <v>297</v>
      </c>
      <c r="K265" s="204" t="s">
        <v>42</v>
      </c>
      <c r="L265" s="204" t="str">
        <f>VLOOKUP(K:K,供应商清单!$A:$B,2,0)</f>
        <v>众博</v>
      </c>
      <c r="M265" s="204" t="s">
        <v>298</v>
      </c>
      <c r="N265" s="204">
        <v>10001161297808</v>
      </c>
      <c r="O265" s="204">
        <v>71000121051508</v>
      </c>
      <c r="P265" s="206"/>
    </row>
    <row r="266" ht="14.25" spans="1:16">
      <c r="A266" s="200">
        <v>6272</v>
      </c>
      <c r="B266" s="201" t="s">
        <v>174</v>
      </c>
      <c r="C266" s="202">
        <v>44383.5558796296</v>
      </c>
      <c r="D266" s="202">
        <v>44383.5560185185</v>
      </c>
      <c r="E266" s="203" t="s">
        <v>322</v>
      </c>
      <c r="F266" s="204" t="s">
        <v>323</v>
      </c>
      <c r="G266" s="204">
        <v>800</v>
      </c>
      <c r="H266" s="203" t="s">
        <v>261</v>
      </c>
      <c r="I266" s="204" t="s">
        <v>296</v>
      </c>
      <c r="J266" s="204" t="s">
        <v>297</v>
      </c>
      <c r="K266" s="204" t="s">
        <v>42</v>
      </c>
      <c r="L266" s="204" t="str">
        <f>VLOOKUP(K:K,供应商清单!$A:$B,2,0)</f>
        <v>众博</v>
      </c>
      <c r="M266" s="204" t="s">
        <v>298</v>
      </c>
      <c r="N266" s="204">
        <v>10001161297809</v>
      </c>
      <c r="O266" s="204">
        <v>71000121050312</v>
      </c>
      <c r="P266" s="206"/>
    </row>
    <row r="267" ht="14.25" spans="1:16">
      <c r="A267" s="200">
        <v>6344</v>
      </c>
      <c r="B267" s="201" t="s">
        <v>174</v>
      </c>
      <c r="C267" s="202">
        <v>44386.4535069444</v>
      </c>
      <c r="D267" s="202">
        <v>44386.4537152778</v>
      </c>
      <c r="E267" s="203" t="s">
        <v>65</v>
      </c>
      <c r="F267" s="204" t="s">
        <v>220</v>
      </c>
      <c r="G267" s="204">
        <v>200</v>
      </c>
      <c r="H267" s="203" t="s">
        <v>261</v>
      </c>
      <c r="I267" s="204" t="s">
        <v>296</v>
      </c>
      <c r="J267" s="204" t="s">
        <v>339</v>
      </c>
      <c r="K267" s="204" t="s">
        <v>51</v>
      </c>
      <c r="L267" s="204" t="str">
        <f>VLOOKUP(K:K,供应商清单!$A:$B,2,0)</f>
        <v>顶尖</v>
      </c>
      <c r="M267" s="204" t="s">
        <v>176</v>
      </c>
      <c r="N267" s="204">
        <v>10001161298267</v>
      </c>
      <c r="O267" s="204">
        <v>71000121061516</v>
      </c>
      <c r="P267" s="206"/>
    </row>
    <row r="268" ht="14.25" spans="1:16">
      <c r="A268" s="200">
        <v>6345</v>
      </c>
      <c r="B268" s="201" t="s">
        <v>174</v>
      </c>
      <c r="C268" s="202">
        <v>44386.4535185185</v>
      </c>
      <c r="D268" s="202">
        <v>44386.4537152778</v>
      </c>
      <c r="E268" s="203" t="s">
        <v>64</v>
      </c>
      <c r="F268" s="204" t="s">
        <v>263</v>
      </c>
      <c r="G268" s="204">
        <v>9340</v>
      </c>
      <c r="H268" s="203" t="s">
        <v>261</v>
      </c>
      <c r="I268" s="204" t="s">
        <v>296</v>
      </c>
      <c r="J268" s="204" t="s">
        <v>339</v>
      </c>
      <c r="K268" s="204" t="s">
        <v>51</v>
      </c>
      <c r="L268" s="204" t="str">
        <f>VLOOKUP(K:K,供应商清单!$A:$B,2,0)</f>
        <v>顶尖</v>
      </c>
      <c r="M268" s="204" t="s">
        <v>176</v>
      </c>
      <c r="N268" s="204">
        <v>10001161298268</v>
      </c>
      <c r="O268" s="204">
        <v>71000121061516</v>
      </c>
      <c r="P268" s="206"/>
    </row>
    <row r="269" ht="14.25" spans="1:16">
      <c r="A269" s="200">
        <v>6349</v>
      </c>
      <c r="B269" s="201" t="s">
        <v>174</v>
      </c>
      <c r="C269" s="202">
        <v>44387.799224537</v>
      </c>
      <c r="D269" s="202">
        <v>44387.7993634259</v>
      </c>
      <c r="E269" s="203" t="s">
        <v>314</v>
      </c>
      <c r="F269" s="204" t="s">
        <v>315</v>
      </c>
      <c r="G269" s="204">
        <v>600</v>
      </c>
      <c r="H269" s="203" t="s">
        <v>261</v>
      </c>
      <c r="I269" s="204" t="s">
        <v>296</v>
      </c>
      <c r="J269" s="204" t="s">
        <v>338</v>
      </c>
      <c r="K269" s="204" t="s">
        <v>42</v>
      </c>
      <c r="L269" s="204" t="str">
        <f>VLOOKUP(K:K,供应商清单!$A:$B,2,0)</f>
        <v>众博</v>
      </c>
      <c r="M269" s="204" t="s">
        <v>298</v>
      </c>
      <c r="N269" s="204">
        <v>10001161298465</v>
      </c>
      <c r="O269" s="204">
        <v>71000121051340</v>
      </c>
      <c r="P269" s="206"/>
    </row>
    <row r="270" ht="14.25" spans="1:16">
      <c r="A270" s="200">
        <v>6350</v>
      </c>
      <c r="B270" s="201" t="s">
        <v>174</v>
      </c>
      <c r="C270" s="202">
        <v>44387.799224537</v>
      </c>
      <c r="D270" s="202">
        <v>44387.7993634259</v>
      </c>
      <c r="E270" s="203" t="s">
        <v>314</v>
      </c>
      <c r="F270" s="204" t="s">
        <v>315</v>
      </c>
      <c r="G270" s="204">
        <v>520</v>
      </c>
      <c r="H270" s="203" t="s">
        <v>261</v>
      </c>
      <c r="I270" s="204" t="s">
        <v>296</v>
      </c>
      <c r="J270" s="204" t="s">
        <v>338</v>
      </c>
      <c r="K270" s="204" t="s">
        <v>42</v>
      </c>
      <c r="L270" s="204" t="str">
        <f>VLOOKUP(K:K,供应商清单!$A:$B,2,0)</f>
        <v>众博</v>
      </c>
      <c r="M270" s="204" t="s">
        <v>298</v>
      </c>
      <c r="N270" s="204">
        <v>10001161298465</v>
      </c>
      <c r="O270" s="204">
        <v>71000121052488</v>
      </c>
      <c r="P270" s="206"/>
    </row>
    <row r="271" ht="14.25" spans="1:16">
      <c r="A271" s="200">
        <v>6351</v>
      </c>
      <c r="B271" s="201" t="s">
        <v>174</v>
      </c>
      <c r="C271" s="202">
        <v>44387.7992361111</v>
      </c>
      <c r="D271" s="202">
        <v>44387.7993634259</v>
      </c>
      <c r="E271" s="203" t="s">
        <v>308</v>
      </c>
      <c r="F271" s="204" t="s">
        <v>309</v>
      </c>
      <c r="G271" s="204">
        <v>3072</v>
      </c>
      <c r="H271" s="203" t="s">
        <v>261</v>
      </c>
      <c r="I271" s="204" t="s">
        <v>296</v>
      </c>
      <c r="J271" s="204" t="s">
        <v>338</v>
      </c>
      <c r="K271" s="204" t="s">
        <v>42</v>
      </c>
      <c r="L271" s="204" t="str">
        <f>VLOOKUP(K:K,供应商清单!$A:$B,2,0)</f>
        <v>众博</v>
      </c>
      <c r="M271" s="204" t="s">
        <v>298</v>
      </c>
      <c r="N271" s="204">
        <v>10001161298464</v>
      </c>
      <c r="O271" s="204">
        <v>71000121051898</v>
      </c>
      <c r="P271" s="206"/>
    </row>
    <row r="272" ht="14.25" spans="1:16">
      <c r="A272" s="200">
        <v>85</v>
      </c>
      <c r="B272" s="201" t="s">
        <v>340</v>
      </c>
      <c r="C272" s="202">
        <v>44382.3902314815</v>
      </c>
      <c r="D272" s="202">
        <v>44382.3906944444</v>
      </c>
      <c r="E272" s="203" t="s">
        <v>140</v>
      </c>
      <c r="F272" s="204" t="s">
        <v>220</v>
      </c>
      <c r="G272" s="204">
        <v>1000</v>
      </c>
      <c r="H272" s="203" t="s">
        <v>222</v>
      </c>
      <c r="I272" s="204" t="s">
        <v>341</v>
      </c>
      <c r="J272" s="204" t="s">
        <v>342</v>
      </c>
      <c r="K272" s="204" t="s">
        <v>36</v>
      </c>
      <c r="L272" s="204" t="str">
        <f>VLOOKUP(K:K,供应商清单!$A:$B,2,0)</f>
        <v>东航</v>
      </c>
      <c r="M272" s="204" t="s">
        <v>176</v>
      </c>
      <c r="N272" s="204">
        <v>10201160201646</v>
      </c>
      <c r="O272" s="204">
        <v>71020121060917</v>
      </c>
      <c r="P272" s="206"/>
    </row>
    <row r="273" ht="14.25" spans="1:16">
      <c r="A273" s="200">
        <v>86</v>
      </c>
      <c r="B273" s="201" t="s">
        <v>340</v>
      </c>
      <c r="C273" s="202">
        <v>44382.3902314815</v>
      </c>
      <c r="D273" s="202">
        <v>44382.3907060185</v>
      </c>
      <c r="E273" s="203" t="s">
        <v>140</v>
      </c>
      <c r="F273" s="204" t="s">
        <v>220</v>
      </c>
      <c r="G273" s="204">
        <v>1700</v>
      </c>
      <c r="H273" s="203" t="s">
        <v>222</v>
      </c>
      <c r="I273" s="204" t="s">
        <v>341</v>
      </c>
      <c r="J273" s="204" t="s">
        <v>342</v>
      </c>
      <c r="K273" s="204" t="s">
        <v>36</v>
      </c>
      <c r="L273" s="204" t="str">
        <f>VLOOKUP(K:K,供应商清单!$A:$B,2,0)</f>
        <v>东航</v>
      </c>
      <c r="M273" s="204" t="s">
        <v>176</v>
      </c>
      <c r="N273" s="204">
        <v>10201160201646</v>
      </c>
      <c r="O273" s="204">
        <v>71020121060917</v>
      </c>
      <c r="P273" s="206"/>
    </row>
    <row r="274" ht="14.25" spans="1:16">
      <c r="A274" s="200">
        <v>87</v>
      </c>
      <c r="B274" s="201" t="s">
        <v>340</v>
      </c>
      <c r="C274" s="202">
        <v>44382.3902314815</v>
      </c>
      <c r="D274" s="202">
        <v>44382.3907060185</v>
      </c>
      <c r="E274" s="203" t="s">
        <v>129</v>
      </c>
      <c r="F274" s="204" t="s">
        <v>229</v>
      </c>
      <c r="G274" s="204">
        <v>5000</v>
      </c>
      <c r="H274" s="203" t="s">
        <v>222</v>
      </c>
      <c r="I274" s="204" t="s">
        <v>341</v>
      </c>
      <c r="J274" s="204" t="s">
        <v>342</v>
      </c>
      <c r="K274" s="204" t="s">
        <v>36</v>
      </c>
      <c r="L274" s="204" t="str">
        <f>VLOOKUP(K:K,供应商清单!$A:$B,2,0)</f>
        <v>东航</v>
      </c>
      <c r="M274" s="204" t="s">
        <v>176</v>
      </c>
      <c r="N274" s="204">
        <v>10201160201647</v>
      </c>
      <c r="O274" s="204">
        <v>71020121051195</v>
      </c>
      <c r="P274" s="206"/>
    </row>
    <row r="275" ht="14.25" spans="1:16">
      <c r="A275" s="200">
        <v>88</v>
      </c>
      <c r="B275" s="201" t="s">
        <v>340</v>
      </c>
      <c r="C275" s="202">
        <v>44382.3902314815</v>
      </c>
      <c r="D275" s="202">
        <v>44382.3907060185</v>
      </c>
      <c r="E275" s="203" t="s">
        <v>125</v>
      </c>
      <c r="F275" s="204" t="s">
        <v>228</v>
      </c>
      <c r="G275" s="204">
        <v>4200</v>
      </c>
      <c r="H275" s="203" t="s">
        <v>222</v>
      </c>
      <c r="I275" s="204" t="s">
        <v>341</v>
      </c>
      <c r="J275" s="204" t="s">
        <v>342</v>
      </c>
      <c r="K275" s="204" t="s">
        <v>36</v>
      </c>
      <c r="L275" s="204" t="str">
        <f>VLOOKUP(K:K,供应商清单!$A:$B,2,0)</f>
        <v>东航</v>
      </c>
      <c r="M275" s="204" t="s">
        <v>176</v>
      </c>
      <c r="N275" s="204">
        <v>10201160201648</v>
      </c>
      <c r="O275" s="204">
        <v>71020121050654</v>
      </c>
      <c r="P275" s="206"/>
    </row>
    <row r="276" ht="14.25" spans="1:16">
      <c r="A276" s="200">
        <v>89</v>
      </c>
      <c r="B276" s="201" t="s">
        <v>340</v>
      </c>
      <c r="C276" s="202">
        <v>44382.3902314815</v>
      </c>
      <c r="D276" s="202">
        <v>44382.3907060185</v>
      </c>
      <c r="E276" s="203" t="s">
        <v>125</v>
      </c>
      <c r="F276" s="204" t="s">
        <v>228</v>
      </c>
      <c r="G276" s="204">
        <v>4200</v>
      </c>
      <c r="H276" s="203" t="s">
        <v>222</v>
      </c>
      <c r="I276" s="204" t="s">
        <v>341</v>
      </c>
      <c r="J276" s="204" t="s">
        <v>342</v>
      </c>
      <c r="K276" s="204" t="s">
        <v>36</v>
      </c>
      <c r="L276" s="204" t="str">
        <f>VLOOKUP(K:K,供应商清单!$A:$B,2,0)</f>
        <v>东航</v>
      </c>
      <c r="M276" s="204" t="s">
        <v>176</v>
      </c>
      <c r="N276" s="204">
        <v>10201160201648</v>
      </c>
      <c r="O276" s="204">
        <v>71020121051195</v>
      </c>
      <c r="P276" s="206"/>
    </row>
    <row r="277" ht="14.25" spans="1:16">
      <c r="A277" s="200">
        <v>90</v>
      </c>
      <c r="B277" s="201" t="s">
        <v>340</v>
      </c>
      <c r="C277" s="202">
        <v>44382.3902314815</v>
      </c>
      <c r="D277" s="202">
        <v>44382.3907060185</v>
      </c>
      <c r="E277" s="203" t="s">
        <v>130</v>
      </c>
      <c r="F277" s="204" t="s">
        <v>229</v>
      </c>
      <c r="G277" s="204">
        <v>2600</v>
      </c>
      <c r="H277" s="203" t="s">
        <v>222</v>
      </c>
      <c r="I277" s="204" t="s">
        <v>341</v>
      </c>
      <c r="J277" s="204" t="s">
        <v>342</v>
      </c>
      <c r="K277" s="204" t="s">
        <v>36</v>
      </c>
      <c r="L277" s="204" t="str">
        <f>VLOOKUP(K:K,供应商清单!$A:$B,2,0)</f>
        <v>东航</v>
      </c>
      <c r="M277" s="204" t="s">
        <v>176</v>
      </c>
      <c r="N277" s="204">
        <v>10201160201649</v>
      </c>
      <c r="O277" s="204">
        <v>71020121051195</v>
      </c>
      <c r="P277" s="206"/>
    </row>
    <row r="278" ht="14.25" spans="1:16">
      <c r="A278" s="200">
        <v>157</v>
      </c>
      <c r="B278" s="201" t="s">
        <v>340</v>
      </c>
      <c r="C278" s="202">
        <v>44387.7781712963</v>
      </c>
      <c r="D278" s="202">
        <v>44387.7786111111</v>
      </c>
      <c r="E278" s="203" t="s">
        <v>144</v>
      </c>
      <c r="F278" s="204" t="s">
        <v>259</v>
      </c>
      <c r="G278" s="204">
        <v>200</v>
      </c>
      <c r="H278" s="203" t="s">
        <v>222</v>
      </c>
      <c r="I278" s="204" t="s">
        <v>341</v>
      </c>
      <c r="J278" s="204" t="s">
        <v>342</v>
      </c>
      <c r="K278" s="204" t="s">
        <v>25</v>
      </c>
      <c r="L278" s="204" t="str">
        <f>VLOOKUP(K:K,供应商清单!$A:$B,2,0)</f>
        <v>珊瑚</v>
      </c>
      <c r="M278" s="204" t="s">
        <v>176</v>
      </c>
      <c r="N278" s="204">
        <v>10201160202613</v>
      </c>
      <c r="O278" s="204">
        <v>71020121060990</v>
      </c>
      <c r="P278" s="206"/>
    </row>
    <row r="279" ht="14.25" spans="1:16">
      <c r="A279" s="200">
        <v>521</v>
      </c>
      <c r="B279" s="201" t="s">
        <v>340</v>
      </c>
      <c r="C279" s="202">
        <v>44385.3300347222</v>
      </c>
      <c r="D279" s="202">
        <v>44385.3307291667</v>
      </c>
      <c r="E279" s="203" t="s">
        <v>117</v>
      </c>
      <c r="F279" s="204" t="s">
        <v>220</v>
      </c>
      <c r="G279" s="204">
        <v>200</v>
      </c>
      <c r="H279" s="203" t="s">
        <v>222</v>
      </c>
      <c r="I279" s="204" t="s">
        <v>341</v>
      </c>
      <c r="J279" s="204" t="s">
        <v>342</v>
      </c>
      <c r="K279" s="204" t="s">
        <v>34</v>
      </c>
      <c r="L279" s="204" t="str">
        <f>VLOOKUP(K:K,供应商清单!$A:$B,2,0)</f>
        <v>大长今</v>
      </c>
      <c r="M279" s="204" t="s">
        <v>176</v>
      </c>
      <c r="N279" s="204">
        <v>10201160202020</v>
      </c>
      <c r="O279" s="204">
        <v>71020121070039</v>
      </c>
      <c r="P279" s="206"/>
    </row>
    <row r="280" ht="14.25" spans="1:16">
      <c r="A280" s="200">
        <v>522</v>
      </c>
      <c r="B280" s="201" t="s">
        <v>340</v>
      </c>
      <c r="C280" s="202">
        <v>44385.3300347222</v>
      </c>
      <c r="D280" s="202">
        <v>44385.3307291667</v>
      </c>
      <c r="E280" s="203" t="s">
        <v>153</v>
      </c>
      <c r="F280" s="204" t="s">
        <v>220</v>
      </c>
      <c r="G280" s="204">
        <v>2060</v>
      </c>
      <c r="H280" s="203" t="s">
        <v>222</v>
      </c>
      <c r="I280" s="204" t="s">
        <v>341</v>
      </c>
      <c r="J280" s="204" t="s">
        <v>342</v>
      </c>
      <c r="K280" s="204" t="s">
        <v>25</v>
      </c>
      <c r="L280" s="204" t="str">
        <f>VLOOKUP(K:K,供应商清单!$A:$B,2,0)</f>
        <v>珊瑚</v>
      </c>
      <c r="M280" s="204" t="s">
        <v>176</v>
      </c>
      <c r="N280" s="204">
        <v>10201160202018</v>
      </c>
      <c r="O280" s="204">
        <v>71020121060138</v>
      </c>
      <c r="P280" s="206"/>
    </row>
    <row r="281" ht="14.25" spans="1:16">
      <c r="A281" s="200">
        <v>523</v>
      </c>
      <c r="B281" s="201" t="s">
        <v>340</v>
      </c>
      <c r="C281" s="202">
        <v>44385.3300347222</v>
      </c>
      <c r="D281" s="202">
        <v>44385.3307291667</v>
      </c>
      <c r="E281" s="203" t="s">
        <v>112</v>
      </c>
      <c r="F281" s="204" t="s">
        <v>220</v>
      </c>
      <c r="G281" s="204">
        <v>919</v>
      </c>
      <c r="H281" s="203" t="s">
        <v>222</v>
      </c>
      <c r="I281" s="204" t="s">
        <v>341</v>
      </c>
      <c r="J281" s="204" t="s">
        <v>342</v>
      </c>
      <c r="K281" s="204" t="s">
        <v>34</v>
      </c>
      <c r="L281" s="204" t="str">
        <f>VLOOKUP(K:K,供应商清单!$A:$B,2,0)</f>
        <v>大长今</v>
      </c>
      <c r="M281" s="204" t="s">
        <v>176</v>
      </c>
      <c r="N281" s="204">
        <v>10201160202020</v>
      </c>
      <c r="O281" s="204">
        <v>71020121060808</v>
      </c>
      <c r="P281" s="206"/>
    </row>
    <row r="282" ht="14.25" spans="1:16">
      <c r="A282" s="200">
        <v>524</v>
      </c>
      <c r="B282" s="201" t="s">
        <v>340</v>
      </c>
      <c r="C282" s="202">
        <v>44385.3300347222</v>
      </c>
      <c r="D282" s="202">
        <v>44385.3307291667</v>
      </c>
      <c r="E282" s="203" t="s">
        <v>158</v>
      </c>
      <c r="F282" s="204" t="s">
        <v>257</v>
      </c>
      <c r="G282" s="204">
        <v>340</v>
      </c>
      <c r="H282" s="203" t="s">
        <v>222</v>
      </c>
      <c r="I282" s="204" t="s">
        <v>341</v>
      </c>
      <c r="J282" s="204" t="s">
        <v>342</v>
      </c>
      <c r="K282" s="204" t="s">
        <v>25</v>
      </c>
      <c r="L282" s="204" t="str">
        <f>VLOOKUP(K:K,供应商清单!$A:$B,2,0)</f>
        <v>珊瑚</v>
      </c>
      <c r="M282" s="204" t="s">
        <v>176</v>
      </c>
      <c r="N282" s="204">
        <v>10201160202015</v>
      </c>
      <c r="O282" s="204">
        <v>71020121051438</v>
      </c>
      <c r="P282" s="206"/>
    </row>
    <row r="283" ht="14.25" spans="1:16">
      <c r="A283" s="200">
        <v>527</v>
      </c>
      <c r="B283" s="201" t="s">
        <v>340</v>
      </c>
      <c r="C283" s="202">
        <v>44385.3303472222</v>
      </c>
      <c r="D283" s="202">
        <v>44385.3307407407</v>
      </c>
      <c r="E283" s="203" t="s">
        <v>166</v>
      </c>
      <c r="F283" s="204" t="s">
        <v>220</v>
      </c>
      <c r="G283" s="204">
        <v>2200</v>
      </c>
      <c r="H283" s="203" t="s">
        <v>222</v>
      </c>
      <c r="I283" s="204" t="s">
        <v>341</v>
      </c>
      <c r="J283" s="204" t="s">
        <v>342</v>
      </c>
      <c r="K283" s="204" t="s">
        <v>18</v>
      </c>
      <c r="L283" s="204" t="str">
        <f>VLOOKUP(K:K,供应商清单!$A:$B,2,0)</f>
        <v>中扬</v>
      </c>
      <c r="M283" s="204" t="s">
        <v>176</v>
      </c>
      <c r="N283" s="204">
        <v>10201160202061</v>
      </c>
      <c r="O283" s="204">
        <v>71020121051437</v>
      </c>
      <c r="P283" s="206"/>
    </row>
    <row r="284" ht="14.25" spans="1:16">
      <c r="A284" s="200">
        <v>534</v>
      </c>
      <c r="B284" s="201" t="s">
        <v>340</v>
      </c>
      <c r="C284" s="202">
        <v>44385.3303472222</v>
      </c>
      <c r="D284" s="202">
        <v>44385.3307523148</v>
      </c>
      <c r="E284" s="203" t="s">
        <v>158</v>
      </c>
      <c r="F284" s="204" t="s">
        <v>257</v>
      </c>
      <c r="G284" s="204">
        <v>6060</v>
      </c>
      <c r="H284" s="203" t="s">
        <v>222</v>
      </c>
      <c r="I284" s="204" t="s">
        <v>341</v>
      </c>
      <c r="J284" s="204" t="s">
        <v>342</v>
      </c>
      <c r="K284" s="204" t="s">
        <v>25</v>
      </c>
      <c r="L284" s="204" t="str">
        <f>VLOOKUP(K:K,供应商清单!$A:$B,2,0)</f>
        <v>珊瑚</v>
      </c>
      <c r="M284" s="204" t="s">
        <v>176</v>
      </c>
      <c r="N284" s="204">
        <v>10201160202015</v>
      </c>
      <c r="O284" s="204">
        <v>71020121051438</v>
      </c>
      <c r="P284" s="206"/>
    </row>
    <row r="285" ht="14.25" spans="1:16">
      <c r="A285" s="200">
        <v>575</v>
      </c>
      <c r="B285" s="201" t="s">
        <v>340</v>
      </c>
      <c r="C285" s="202">
        <v>44387.5639814815</v>
      </c>
      <c r="D285" s="202">
        <v>44387.5642476852</v>
      </c>
      <c r="E285" s="203" t="s">
        <v>129</v>
      </c>
      <c r="F285" s="204" t="s">
        <v>229</v>
      </c>
      <c r="G285" s="204">
        <v>5000</v>
      </c>
      <c r="H285" s="203" t="s">
        <v>222</v>
      </c>
      <c r="I285" s="204" t="s">
        <v>341</v>
      </c>
      <c r="J285" s="204" t="s">
        <v>342</v>
      </c>
      <c r="K285" s="204" t="s">
        <v>36</v>
      </c>
      <c r="L285" s="204" t="str">
        <f>VLOOKUP(K:K,供应商清单!$A:$B,2,0)</f>
        <v>东航</v>
      </c>
      <c r="M285" s="204" t="s">
        <v>176</v>
      </c>
      <c r="N285" s="204">
        <v>10201160202459</v>
      </c>
      <c r="O285" s="204">
        <v>71020121051195</v>
      </c>
      <c r="P285" s="206"/>
    </row>
    <row r="286" ht="14.25" spans="1:16">
      <c r="A286" s="200">
        <v>576</v>
      </c>
      <c r="B286" s="201" t="s">
        <v>340</v>
      </c>
      <c r="C286" s="202">
        <v>44387.5639930556</v>
      </c>
      <c r="D286" s="202">
        <v>44387.5642476852</v>
      </c>
      <c r="E286" s="203" t="s">
        <v>129</v>
      </c>
      <c r="F286" s="204" t="s">
        <v>229</v>
      </c>
      <c r="G286" s="204">
        <v>5000</v>
      </c>
      <c r="H286" s="203" t="s">
        <v>222</v>
      </c>
      <c r="I286" s="204" t="s">
        <v>341</v>
      </c>
      <c r="J286" s="204" t="s">
        <v>342</v>
      </c>
      <c r="K286" s="204" t="s">
        <v>36</v>
      </c>
      <c r="L286" s="204" t="str">
        <f>VLOOKUP(K:K,供应商清单!$A:$B,2,0)</f>
        <v>东航</v>
      </c>
      <c r="M286" s="204" t="s">
        <v>176</v>
      </c>
      <c r="N286" s="204">
        <v>10201160202459</v>
      </c>
      <c r="O286" s="204">
        <v>71020121051195</v>
      </c>
      <c r="P286" s="206"/>
    </row>
    <row r="287" ht="14.25" spans="1:16">
      <c r="A287" s="200">
        <v>577</v>
      </c>
      <c r="B287" s="201" t="s">
        <v>340</v>
      </c>
      <c r="C287" s="202">
        <v>44387.5639930556</v>
      </c>
      <c r="D287" s="202">
        <v>44387.5642476852</v>
      </c>
      <c r="E287" s="203" t="s">
        <v>125</v>
      </c>
      <c r="F287" s="204" t="s">
        <v>228</v>
      </c>
      <c r="G287" s="204">
        <v>4200</v>
      </c>
      <c r="H287" s="203" t="s">
        <v>222</v>
      </c>
      <c r="I287" s="204" t="s">
        <v>341</v>
      </c>
      <c r="J287" s="204" t="s">
        <v>342</v>
      </c>
      <c r="K287" s="204" t="s">
        <v>36</v>
      </c>
      <c r="L287" s="204" t="str">
        <f>VLOOKUP(K:K,供应商清单!$A:$B,2,0)</f>
        <v>东航</v>
      </c>
      <c r="M287" s="204" t="s">
        <v>176</v>
      </c>
      <c r="N287" s="204">
        <v>10201160202460</v>
      </c>
      <c r="O287" s="204">
        <v>71020121050654</v>
      </c>
      <c r="P287" s="206"/>
    </row>
    <row r="288" ht="14.25" spans="1:16">
      <c r="A288" s="200">
        <v>950</v>
      </c>
      <c r="B288" s="201" t="s">
        <v>340</v>
      </c>
      <c r="C288" s="202">
        <v>44382.7598726852</v>
      </c>
      <c r="D288" s="202">
        <v>44382.7600115741</v>
      </c>
      <c r="E288" s="203" t="s">
        <v>117</v>
      </c>
      <c r="F288" s="204" t="s">
        <v>220</v>
      </c>
      <c r="G288" s="204">
        <v>200</v>
      </c>
      <c r="H288" s="203" t="s">
        <v>222</v>
      </c>
      <c r="I288" s="204" t="s">
        <v>341</v>
      </c>
      <c r="J288" s="204" t="s">
        <v>342</v>
      </c>
      <c r="K288" s="204" t="s">
        <v>34</v>
      </c>
      <c r="L288" s="204" t="str">
        <f>VLOOKUP(K:K,供应商清单!$A:$B,2,0)</f>
        <v>大长今</v>
      </c>
      <c r="M288" s="204" t="s">
        <v>176</v>
      </c>
      <c r="N288" s="204">
        <v>10201160201765</v>
      </c>
      <c r="O288" s="204">
        <v>71020121070039</v>
      </c>
      <c r="P288" s="206"/>
    </row>
    <row r="289" ht="14.25" spans="1:16">
      <c r="A289" s="200">
        <v>961</v>
      </c>
      <c r="B289" s="201" t="s">
        <v>340</v>
      </c>
      <c r="C289" s="202">
        <v>44382.7599189815</v>
      </c>
      <c r="D289" s="202">
        <v>44382.7603009259</v>
      </c>
      <c r="E289" s="203" t="s">
        <v>112</v>
      </c>
      <c r="F289" s="204" t="s">
        <v>220</v>
      </c>
      <c r="G289" s="204">
        <v>1180</v>
      </c>
      <c r="H289" s="203" t="s">
        <v>222</v>
      </c>
      <c r="I289" s="204" t="s">
        <v>341</v>
      </c>
      <c r="J289" s="204" t="s">
        <v>342</v>
      </c>
      <c r="K289" s="204" t="s">
        <v>34</v>
      </c>
      <c r="L289" s="204" t="str">
        <f>VLOOKUP(K:K,供应商清单!$A:$B,2,0)</f>
        <v>大长今</v>
      </c>
      <c r="M289" s="204" t="s">
        <v>176</v>
      </c>
      <c r="N289" s="204">
        <v>10201160201765</v>
      </c>
      <c r="O289" s="204">
        <v>71020121060808</v>
      </c>
      <c r="P289" s="206"/>
    </row>
    <row r="290" ht="14.25" spans="1:16">
      <c r="A290" s="200">
        <v>962</v>
      </c>
      <c r="B290" s="201" t="s">
        <v>340</v>
      </c>
      <c r="C290" s="202">
        <v>44382.7599189815</v>
      </c>
      <c r="D290" s="202">
        <v>44382.7603009259</v>
      </c>
      <c r="E290" s="203" t="s">
        <v>112</v>
      </c>
      <c r="F290" s="204" t="s">
        <v>220</v>
      </c>
      <c r="G290" s="204">
        <v>5000</v>
      </c>
      <c r="H290" s="203" t="s">
        <v>222</v>
      </c>
      <c r="I290" s="204" t="s">
        <v>341</v>
      </c>
      <c r="J290" s="204" t="s">
        <v>342</v>
      </c>
      <c r="K290" s="204" t="s">
        <v>34</v>
      </c>
      <c r="L290" s="204" t="str">
        <f>VLOOKUP(K:K,供应商清单!$A:$B,2,0)</f>
        <v>大长今</v>
      </c>
      <c r="M290" s="204" t="s">
        <v>176</v>
      </c>
      <c r="N290" s="204">
        <v>10201160201765</v>
      </c>
      <c r="O290" s="204">
        <v>71020121060808</v>
      </c>
      <c r="P290" s="206"/>
    </row>
    <row r="291" ht="14.25" spans="1:16">
      <c r="A291" s="200">
        <v>963</v>
      </c>
      <c r="B291" s="201" t="s">
        <v>340</v>
      </c>
      <c r="C291" s="202">
        <v>44382.7599189815</v>
      </c>
      <c r="D291" s="202">
        <v>44382.7603125</v>
      </c>
      <c r="E291" s="203" t="s">
        <v>112</v>
      </c>
      <c r="F291" s="204" t="s">
        <v>220</v>
      </c>
      <c r="G291" s="204">
        <v>5000</v>
      </c>
      <c r="H291" s="203" t="s">
        <v>222</v>
      </c>
      <c r="I291" s="204" t="s">
        <v>341</v>
      </c>
      <c r="J291" s="204" t="s">
        <v>342</v>
      </c>
      <c r="K291" s="204" t="s">
        <v>34</v>
      </c>
      <c r="L291" s="204" t="str">
        <f>VLOOKUP(K:K,供应商清单!$A:$B,2,0)</f>
        <v>大长今</v>
      </c>
      <c r="M291" s="204" t="s">
        <v>176</v>
      </c>
      <c r="N291" s="204">
        <v>10201160201765</v>
      </c>
      <c r="O291" s="204">
        <v>71020121060808</v>
      </c>
      <c r="P291" s="206"/>
    </row>
    <row r="292" ht="14.25" spans="1:16">
      <c r="A292" s="200">
        <v>964</v>
      </c>
      <c r="B292" s="201" t="s">
        <v>340</v>
      </c>
      <c r="C292" s="202">
        <v>44382.7599189815</v>
      </c>
      <c r="D292" s="202">
        <v>44382.7603125</v>
      </c>
      <c r="E292" s="203" t="s">
        <v>118</v>
      </c>
      <c r="F292" s="204" t="s">
        <v>220</v>
      </c>
      <c r="G292" s="204">
        <v>2700</v>
      </c>
      <c r="H292" s="203" t="s">
        <v>222</v>
      </c>
      <c r="I292" s="204" t="s">
        <v>341</v>
      </c>
      <c r="J292" s="204" t="s">
        <v>342</v>
      </c>
      <c r="K292" s="204" t="s">
        <v>34</v>
      </c>
      <c r="L292" s="204" t="str">
        <f>VLOOKUP(K:K,供应商清单!$A:$B,2,0)</f>
        <v>大长今</v>
      </c>
      <c r="M292" s="204" t="s">
        <v>176</v>
      </c>
      <c r="N292" s="204">
        <v>10201160201765</v>
      </c>
      <c r="O292" s="204">
        <v>71020121051444</v>
      </c>
      <c r="P292" s="206"/>
    </row>
    <row r="293" ht="14.25" spans="1:16">
      <c r="A293" s="200">
        <v>965</v>
      </c>
      <c r="B293" s="201" t="s">
        <v>340</v>
      </c>
      <c r="C293" s="202">
        <v>44382.7599189815</v>
      </c>
      <c r="D293" s="202">
        <v>44382.7603125</v>
      </c>
      <c r="E293" s="203" t="s">
        <v>111</v>
      </c>
      <c r="F293" s="204" t="s">
        <v>220</v>
      </c>
      <c r="G293" s="204">
        <v>59</v>
      </c>
      <c r="H293" s="203" t="s">
        <v>222</v>
      </c>
      <c r="I293" s="204" t="s">
        <v>341</v>
      </c>
      <c r="J293" s="204" t="s">
        <v>342</v>
      </c>
      <c r="K293" s="204" t="s">
        <v>34</v>
      </c>
      <c r="L293" s="204" t="str">
        <f>VLOOKUP(K:K,供应商清单!$A:$B,2,0)</f>
        <v>大长今</v>
      </c>
      <c r="M293" s="204" t="s">
        <v>176</v>
      </c>
      <c r="N293" s="204">
        <v>10201160201765</v>
      </c>
      <c r="O293" s="204">
        <v>71020121051444</v>
      </c>
      <c r="P293" s="206"/>
    </row>
    <row r="294" ht="14.25" spans="1:16">
      <c r="A294" s="200">
        <v>966</v>
      </c>
      <c r="B294" s="201" t="s">
        <v>340</v>
      </c>
      <c r="C294" s="202">
        <v>44382.7599189815</v>
      </c>
      <c r="D294" s="202">
        <v>44382.7603125</v>
      </c>
      <c r="E294" s="203" t="s">
        <v>111</v>
      </c>
      <c r="F294" s="204" t="s">
        <v>220</v>
      </c>
      <c r="G294" s="204">
        <v>1072</v>
      </c>
      <c r="H294" s="203" t="s">
        <v>222</v>
      </c>
      <c r="I294" s="204" t="s">
        <v>341</v>
      </c>
      <c r="J294" s="204" t="s">
        <v>342</v>
      </c>
      <c r="K294" s="204" t="s">
        <v>34</v>
      </c>
      <c r="L294" s="204" t="str">
        <f>VLOOKUP(K:K,供应商清单!$A:$B,2,0)</f>
        <v>大长今</v>
      </c>
      <c r="M294" s="204" t="s">
        <v>176</v>
      </c>
      <c r="N294" s="204">
        <v>10201160201765</v>
      </c>
      <c r="O294" s="204">
        <v>71020121050342</v>
      </c>
      <c r="P294" s="206"/>
    </row>
    <row r="295" ht="14.25" spans="1:16">
      <c r="A295" s="200">
        <v>1181</v>
      </c>
      <c r="B295" s="201" t="s">
        <v>340</v>
      </c>
      <c r="C295" s="202">
        <v>44379.7291550926</v>
      </c>
      <c r="D295" s="202">
        <v>44379.7297106481</v>
      </c>
      <c r="E295" s="203" t="s">
        <v>158</v>
      </c>
      <c r="F295" s="204" t="s">
        <v>257</v>
      </c>
      <c r="G295" s="204">
        <v>8340</v>
      </c>
      <c r="H295" s="203" t="s">
        <v>222</v>
      </c>
      <c r="I295" s="204" t="s">
        <v>341</v>
      </c>
      <c r="J295" s="204" t="s">
        <v>342</v>
      </c>
      <c r="K295" s="204" t="s">
        <v>25</v>
      </c>
      <c r="L295" s="204" t="str">
        <f>VLOOKUP(K:K,供应商清单!$A:$B,2,0)</f>
        <v>珊瑚</v>
      </c>
      <c r="M295" s="204" t="s">
        <v>176</v>
      </c>
      <c r="N295" s="204">
        <v>10201160201073</v>
      </c>
      <c r="O295" s="204">
        <v>71020121051438</v>
      </c>
      <c r="P295" s="206"/>
    </row>
    <row r="296" ht="14.25" spans="1:16">
      <c r="A296" s="200">
        <v>1182</v>
      </c>
      <c r="B296" s="201" t="s">
        <v>340</v>
      </c>
      <c r="C296" s="202">
        <v>44379.7291666667</v>
      </c>
      <c r="D296" s="202">
        <v>44379.7297106481</v>
      </c>
      <c r="E296" s="203" t="s">
        <v>158</v>
      </c>
      <c r="F296" s="204" t="s">
        <v>257</v>
      </c>
      <c r="G296" s="204">
        <v>6060</v>
      </c>
      <c r="H296" s="203" t="s">
        <v>222</v>
      </c>
      <c r="I296" s="204" t="s">
        <v>341</v>
      </c>
      <c r="J296" s="204" t="s">
        <v>342</v>
      </c>
      <c r="K296" s="204" t="s">
        <v>25</v>
      </c>
      <c r="L296" s="204" t="str">
        <f>VLOOKUP(K:K,供应商清单!$A:$B,2,0)</f>
        <v>珊瑚</v>
      </c>
      <c r="M296" s="204" t="s">
        <v>176</v>
      </c>
      <c r="N296" s="204">
        <v>10201160201073</v>
      </c>
      <c r="O296" s="204">
        <v>71020121051438</v>
      </c>
      <c r="P296" s="206"/>
    </row>
    <row r="297" ht="14.25" spans="1:16">
      <c r="A297" s="200">
        <v>1183</v>
      </c>
      <c r="B297" s="201" t="s">
        <v>340</v>
      </c>
      <c r="C297" s="202">
        <v>44379.7291666667</v>
      </c>
      <c r="D297" s="202">
        <v>44379.7297222222</v>
      </c>
      <c r="E297" s="203" t="s">
        <v>144</v>
      </c>
      <c r="F297" s="204" t="s">
        <v>259</v>
      </c>
      <c r="G297" s="204">
        <v>1720</v>
      </c>
      <c r="H297" s="203" t="s">
        <v>222</v>
      </c>
      <c r="I297" s="204" t="s">
        <v>341</v>
      </c>
      <c r="J297" s="204" t="s">
        <v>342</v>
      </c>
      <c r="K297" s="204" t="s">
        <v>25</v>
      </c>
      <c r="L297" s="204" t="str">
        <f>VLOOKUP(K:K,供应商清单!$A:$B,2,0)</f>
        <v>珊瑚</v>
      </c>
      <c r="M297" s="204" t="s">
        <v>176</v>
      </c>
      <c r="N297" s="204">
        <v>10201160201074</v>
      </c>
      <c r="O297" s="204">
        <v>71020121051438</v>
      </c>
      <c r="P297" s="206"/>
    </row>
    <row r="298" ht="14.25" spans="1:16">
      <c r="A298" s="200">
        <v>1188</v>
      </c>
      <c r="B298" s="201" t="s">
        <v>340</v>
      </c>
      <c r="C298" s="202">
        <v>44379.7291550926</v>
      </c>
      <c r="D298" s="202">
        <v>44379.7293287037</v>
      </c>
      <c r="E298" s="203" t="s">
        <v>121</v>
      </c>
      <c r="F298" s="204" t="s">
        <v>220</v>
      </c>
      <c r="G298" s="204">
        <v>98</v>
      </c>
      <c r="H298" s="203" t="s">
        <v>222</v>
      </c>
      <c r="I298" s="204" t="s">
        <v>341</v>
      </c>
      <c r="J298" s="204" t="s">
        <v>342</v>
      </c>
      <c r="K298" s="204" t="s">
        <v>32</v>
      </c>
      <c r="L298" s="204" t="str">
        <f>VLOOKUP(K:K,供应商清单!$A:$B,2,0)</f>
        <v>迪朗</v>
      </c>
      <c r="M298" s="204" t="s">
        <v>176</v>
      </c>
      <c r="N298" s="204">
        <v>10201160201071</v>
      </c>
      <c r="O298" s="204">
        <v>71020121050338</v>
      </c>
      <c r="P298" s="206"/>
    </row>
    <row r="299" ht="14.25" spans="1:16">
      <c r="A299" s="200">
        <v>1189</v>
      </c>
      <c r="B299" s="201" t="s">
        <v>340</v>
      </c>
      <c r="C299" s="202">
        <v>44379.7291550926</v>
      </c>
      <c r="D299" s="202">
        <v>44379.7293287037</v>
      </c>
      <c r="E299" s="203" t="s">
        <v>121</v>
      </c>
      <c r="F299" s="204" t="s">
        <v>220</v>
      </c>
      <c r="G299" s="204">
        <v>3782</v>
      </c>
      <c r="H299" s="203" t="s">
        <v>222</v>
      </c>
      <c r="I299" s="204" t="s">
        <v>341</v>
      </c>
      <c r="J299" s="204" t="s">
        <v>342</v>
      </c>
      <c r="K299" s="204" t="s">
        <v>32</v>
      </c>
      <c r="L299" s="204" t="str">
        <f>VLOOKUP(K:K,供应商清单!$A:$B,2,0)</f>
        <v>迪朗</v>
      </c>
      <c r="M299" s="204" t="s">
        <v>176</v>
      </c>
      <c r="N299" s="204">
        <v>10201160201071</v>
      </c>
      <c r="O299" s="204">
        <v>71020121032239</v>
      </c>
      <c r="P299" s="206"/>
    </row>
    <row r="300" ht="14.25" spans="1:16">
      <c r="A300" s="200">
        <v>1329</v>
      </c>
      <c r="B300" s="201" t="s">
        <v>340</v>
      </c>
      <c r="C300" s="202">
        <v>44385.6756134259</v>
      </c>
      <c r="D300" s="202">
        <v>44385.6758564815</v>
      </c>
      <c r="E300" s="203" t="s">
        <v>151</v>
      </c>
      <c r="F300" s="204" t="s">
        <v>220</v>
      </c>
      <c r="G300" s="204">
        <v>849</v>
      </c>
      <c r="H300" s="203" t="s">
        <v>222</v>
      </c>
      <c r="I300" s="204" t="s">
        <v>341</v>
      </c>
      <c r="J300" s="204" t="s">
        <v>342</v>
      </c>
      <c r="K300" s="204" t="s">
        <v>25</v>
      </c>
      <c r="L300" s="204" t="str">
        <f>VLOOKUP(K:K,供应商清单!$A:$B,2,0)</f>
        <v>珊瑚</v>
      </c>
      <c r="M300" s="204" t="s">
        <v>176</v>
      </c>
      <c r="N300" s="204">
        <v>10201160202160</v>
      </c>
      <c r="O300" s="204">
        <v>71020121031262</v>
      </c>
      <c r="P300" s="206"/>
    </row>
    <row r="301" ht="14.25" spans="1:16">
      <c r="A301" s="200">
        <v>1330</v>
      </c>
      <c r="B301" s="201" t="s">
        <v>340</v>
      </c>
      <c r="C301" s="202">
        <v>44385.6756134259</v>
      </c>
      <c r="D301" s="202">
        <v>44385.6758680556</v>
      </c>
      <c r="E301" s="203" t="s">
        <v>151</v>
      </c>
      <c r="F301" s="204" t="s">
        <v>220</v>
      </c>
      <c r="G301" s="204">
        <v>851</v>
      </c>
      <c r="H301" s="203" t="s">
        <v>222</v>
      </c>
      <c r="I301" s="204" t="s">
        <v>341</v>
      </c>
      <c r="J301" s="204" t="s">
        <v>342</v>
      </c>
      <c r="K301" s="204" t="s">
        <v>25</v>
      </c>
      <c r="L301" s="204" t="str">
        <f>VLOOKUP(K:K,供应商清单!$A:$B,2,0)</f>
        <v>珊瑚</v>
      </c>
      <c r="M301" s="204" t="s">
        <v>176</v>
      </c>
      <c r="N301" s="204">
        <v>10201160202160</v>
      </c>
      <c r="O301" s="204">
        <v>71020121031655</v>
      </c>
      <c r="P301" s="206"/>
    </row>
    <row r="302" ht="14.25" spans="1:16">
      <c r="A302" s="200">
        <v>1331</v>
      </c>
      <c r="B302" s="201" t="s">
        <v>340</v>
      </c>
      <c r="C302" s="202">
        <v>44385.6756134259</v>
      </c>
      <c r="D302" s="202">
        <v>44385.6758680556</v>
      </c>
      <c r="E302" s="203" t="s">
        <v>141</v>
      </c>
      <c r="F302" s="204" t="s">
        <v>248</v>
      </c>
      <c r="G302" s="204">
        <v>2160</v>
      </c>
      <c r="H302" s="203" t="s">
        <v>222</v>
      </c>
      <c r="I302" s="204" t="s">
        <v>341</v>
      </c>
      <c r="J302" s="204" t="s">
        <v>342</v>
      </c>
      <c r="K302" s="204" t="s">
        <v>25</v>
      </c>
      <c r="L302" s="204" t="str">
        <f>VLOOKUP(K:K,供应商清单!$A:$B,2,0)</f>
        <v>珊瑚</v>
      </c>
      <c r="M302" s="204" t="s">
        <v>176</v>
      </c>
      <c r="N302" s="204">
        <v>10201160202158</v>
      </c>
      <c r="O302" s="204">
        <v>71020121061134</v>
      </c>
      <c r="P302" s="206"/>
    </row>
    <row r="303" ht="14.25" spans="1:16">
      <c r="A303" s="200">
        <v>1542</v>
      </c>
      <c r="B303" s="201" t="s">
        <v>340</v>
      </c>
      <c r="C303" s="202">
        <v>44382.5454513889</v>
      </c>
      <c r="D303" s="202">
        <v>44382.5457060185</v>
      </c>
      <c r="E303" s="203" t="s">
        <v>158</v>
      </c>
      <c r="F303" s="204" t="s">
        <v>257</v>
      </c>
      <c r="G303" s="204">
        <v>8860</v>
      </c>
      <c r="H303" s="203" t="s">
        <v>222</v>
      </c>
      <c r="I303" s="204" t="s">
        <v>341</v>
      </c>
      <c r="J303" s="204" t="s">
        <v>342</v>
      </c>
      <c r="K303" s="204" t="s">
        <v>25</v>
      </c>
      <c r="L303" s="204" t="str">
        <f>VLOOKUP(K:K,供应商清单!$A:$B,2,0)</f>
        <v>珊瑚</v>
      </c>
      <c r="M303" s="204" t="s">
        <v>176</v>
      </c>
      <c r="N303" s="204">
        <v>10201160201678</v>
      </c>
      <c r="O303" s="204">
        <v>71020121051438</v>
      </c>
      <c r="P303" s="206"/>
    </row>
    <row r="304" ht="14.25" spans="1:16">
      <c r="A304" s="200">
        <v>1543</v>
      </c>
      <c r="B304" s="201" t="s">
        <v>340</v>
      </c>
      <c r="C304" s="202">
        <v>44382.5454513889</v>
      </c>
      <c r="D304" s="202">
        <v>44382.5457060185</v>
      </c>
      <c r="E304" s="203" t="s">
        <v>158</v>
      </c>
      <c r="F304" s="204" t="s">
        <v>257</v>
      </c>
      <c r="G304" s="204">
        <v>3940</v>
      </c>
      <c r="H304" s="203" t="s">
        <v>222</v>
      </c>
      <c r="I304" s="204" t="s">
        <v>341</v>
      </c>
      <c r="J304" s="204" t="s">
        <v>342</v>
      </c>
      <c r="K304" s="204" t="s">
        <v>25</v>
      </c>
      <c r="L304" s="204" t="str">
        <f>VLOOKUP(K:K,供应商清单!$A:$B,2,0)</f>
        <v>珊瑚</v>
      </c>
      <c r="M304" s="204" t="s">
        <v>176</v>
      </c>
      <c r="N304" s="204">
        <v>10201160201678</v>
      </c>
      <c r="O304" s="204">
        <v>71020121051438</v>
      </c>
      <c r="P304" s="206"/>
    </row>
    <row r="305" ht="14.25" spans="1:16">
      <c r="A305" s="200">
        <v>1544</v>
      </c>
      <c r="B305" s="201" t="s">
        <v>340</v>
      </c>
      <c r="C305" s="202">
        <v>44382.5454513889</v>
      </c>
      <c r="D305" s="202">
        <v>44382.5457060185</v>
      </c>
      <c r="E305" s="203" t="s">
        <v>153</v>
      </c>
      <c r="F305" s="204" t="s">
        <v>220</v>
      </c>
      <c r="G305" s="204">
        <v>1940</v>
      </c>
      <c r="H305" s="203" t="s">
        <v>222</v>
      </c>
      <c r="I305" s="204" t="s">
        <v>341</v>
      </c>
      <c r="J305" s="204" t="s">
        <v>342</v>
      </c>
      <c r="K305" s="204" t="s">
        <v>25</v>
      </c>
      <c r="L305" s="204" t="str">
        <f>VLOOKUP(K:K,供应商清单!$A:$B,2,0)</f>
        <v>珊瑚</v>
      </c>
      <c r="M305" s="204" t="s">
        <v>176</v>
      </c>
      <c r="N305" s="204">
        <v>10201160201682</v>
      </c>
      <c r="O305" s="204">
        <v>71020121060138</v>
      </c>
      <c r="P305" s="206"/>
    </row>
    <row r="306" ht="14.25" spans="1:16">
      <c r="A306" s="200">
        <v>1662</v>
      </c>
      <c r="B306" s="201" t="s">
        <v>340</v>
      </c>
      <c r="C306" s="202">
        <v>44392.392337963</v>
      </c>
      <c r="D306" s="202">
        <v>44392.3926736111</v>
      </c>
      <c r="E306" s="203" t="s">
        <v>230</v>
      </c>
      <c r="F306" s="204" t="s">
        <v>228</v>
      </c>
      <c r="G306" s="204">
        <v>1400</v>
      </c>
      <c r="H306" s="203" t="s">
        <v>222</v>
      </c>
      <c r="I306" s="204" t="s">
        <v>341</v>
      </c>
      <c r="J306" s="204" t="s">
        <v>342</v>
      </c>
      <c r="K306" s="204" t="s">
        <v>36</v>
      </c>
      <c r="L306" s="204" t="str">
        <f>VLOOKUP(K:K,供应商清单!$A:$B,2,0)</f>
        <v>东航</v>
      </c>
      <c r="M306" s="204" t="s">
        <v>176</v>
      </c>
      <c r="N306" s="204">
        <v>10201160203283</v>
      </c>
      <c r="O306" s="204">
        <v>71020121051410</v>
      </c>
      <c r="P306" s="206"/>
    </row>
    <row r="307" ht="14.25" spans="1:16">
      <c r="A307" s="200">
        <v>1663</v>
      </c>
      <c r="B307" s="201" t="s">
        <v>340</v>
      </c>
      <c r="C307" s="202">
        <v>44392.392337963</v>
      </c>
      <c r="D307" s="202">
        <v>44392.3926736111</v>
      </c>
      <c r="E307" s="203" t="s">
        <v>123</v>
      </c>
      <c r="F307" s="204" t="s">
        <v>229</v>
      </c>
      <c r="G307" s="204">
        <v>1252</v>
      </c>
      <c r="H307" s="203" t="s">
        <v>222</v>
      </c>
      <c r="I307" s="204" t="s">
        <v>341</v>
      </c>
      <c r="J307" s="204" t="s">
        <v>342</v>
      </c>
      <c r="K307" s="204" t="s">
        <v>36</v>
      </c>
      <c r="L307" s="204" t="str">
        <f>VLOOKUP(K:K,供应商清单!$A:$B,2,0)</f>
        <v>东航</v>
      </c>
      <c r="M307" s="204" t="s">
        <v>176</v>
      </c>
      <c r="N307" s="204">
        <v>10201160203285</v>
      </c>
      <c r="O307" s="204">
        <v>71020121060988</v>
      </c>
      <c r="P307" s="206"/>
    </row>
    <row r="308" ht="14.25" spans="1:16">
      <c r="A308" s="200">
        <v>1664</v>
      </c>
      <c r="B308" s="201" t="s">
        <v>340</v>
      </c>
      <c r="C308" s="202">
        <v>44392.392349537</v>
      </c>
      <c r="D308" s="202">
        <v>44392.3926851852</v>
      </c>
      <c r="E308" s="203" t="s">
        <v>123</v>
      </c>
      <c r="F308" s="204" t="s">
        <v>229</v>
      </c>
      <c r="G308" s="204">
        <v>857</v>
      </c>
      <c r="H308" s="203" t="s">
        <v>222</v>
      </c>
      <c r="I308" s="204" t="s">
        <v>341</v>
      </c>
      <c r="J308" s="204" t="s">
        <v>342</v>
      </c>
      <c r="K308" s="204" t="s">
        <v>36</v>
      </c>
      <c r="L308" s="204" t="str">
        <f>VLOOKUP(K:K,供应商清单!$A:$B,2,0)</f>
        <v>东航</v>
      </c>
      <c r="M308" s="204" t="s">
        <v>176</v>
      </c>
      <c r="N308" s="204">
        <v>10201160203285</v>
      </c>
      <c r="O308" s="204">
        <v>71020121060988</v>
      </c>
      <c r="P308" s="206"/>
    </row>
    <row r="309" ht="14.25" spans="1:16">
      <c r="A309" s="200">
        <v>1665</v>
      </c>
      <c r="B309" s="201" t="s">
        <v>340</v>
      </c>
      <c r="C309" s="202">
        <v>44392.392349537</v>
      </c>
      <c r="D309" s="202">
        <v>44392.3926851852</v>
      </c>
      <c r="E309" s="203" t="s">
        <v>123</v>
      </c>
      <c r="F309" s="204" t="s">
        <v>229</v>
      </c>
      <c r="G309" s="204">
        <v>4942</v>
      </c>
      <c r="H309" s="203" t="s">
        <v>222</v>
      </c>
      <c r="I309" s="204" t="s">
        <v>341</v>
      </c>
      <c r="J309" s="204" t="s">
        <v>342</v>
      </c>
      <c r="K309" s="204" t="s">
        <v>36</v>
      </c>
      <c r="L309" s="204" t="str">
        <f>VLOOKUP(K:K,供应商清单!$A:$B,2,0)</f>
        <v>东航</v>
      </c>
      <c r="M309" s="204" t="s">
        <v>176</v>
      </c>
      <c r="N309" s="204">
        <v>10201160203285</v>
      </c>
      <c r="O309" s="204">
        <v>71020121060988</v>
      </c>
      <c r="P309" s="206"/>
    </row>
    <row r="310" ht="14.25" spans="1:16">
      <c r="A310" s="200">
        <v>1666</v>
      </c>
      <c r="B310" s="201" t="s">
        <v>340</v>
      </c>
      <c r="C310" s="202">
        <v>44392.3926157407</v>
      </c>
      <c r="D310" s="202">
        <v>44392.3926851852</v>
      </c>
      <c r="E310" s="203" t="s">
        <v>231</v>
      </c>
      <c r="F310" s="204" t="s">
        <v>220</v>
      </c>
      <c r="G310" s="204">
        <v>2400</v>
      </c>
      <c r="H310" s="203" t="s">
        <v>222</v>
      </c>
      <c r="I310" s="204" t="s">
        <v>341</v>
      </c>
      <c r="J310" s="204" t="s">
        <v>342</v>
      </c>
      <c r="K310" s="204" t="s">
        <v>36</v>
      </c>
      <c r="L310" s="204" t="str">
        <f>VLOOKUP(K:K,供应商清单!$A:$B,2,0)</f>
        <v>东航</v>
      </c>
      <c r="M310" s="204" t="s">
        <v>176</v>
      </c>
      <c r="N310" s="204">
        <v>10201160203286</v>
      </c>
      <c r="O310" s="204">
        <v>71020121060111</v>
      </c>
      <c r="P310" s="206"/>
    </row>
    <row r="311" ht="14.25" spans="1:16">
      <c r="A311" s="200">
        <v>1739</v>
      </c>
      <c r="B311" s="201" t="s">
        <v>340</v>
      </c>
      <c r="C311" s="202">
        <v>44380.4754513889</v>
      </c>
      <c r="D311" s="202">
        <v>44380.4756828704</v>
      </c>
      <c r="E311" s="203" t="s">
        <v>343</v>
      </c>
      <c r="F311" s="204" t="s">
        <v>344</v>
      </c>
      <c r="G311" s="204">
        <v>1356</v>
      </c>
      <c r="H311" s="203" t="s">
        <v>222</v>
      </c>
      <c r="I311" s="204" t="s">
        <v>341</v>
      </c>
      <c r="J311" s="204" t="s">
        <v>342</v>
      </c>
      <c r="K311" s="204" t="s">
        <v>40</v>
      </c>
      <c r="L311" s="204" t="str">
        <f>VLOOKUP(K:K,供应商清单!$A:$B,2,0)</f>
        <v>镒沣</v>
      </c>
      <c r="M311" s="204" t="s">
        <v>298</v>
      </c>
      <c r="N311" s="204">
        <v>10201160200801</v>
      </c>
      <c r="O311" s="204">
        <v>71020121030527</v>
      </c>
      <c r="P311" s="206"/>
    </row>
    <row r="312" ht="14.25" spans="1:16">
      <c r="A312" s="200">
        <v>1740</v>
      </c>
      <c r="B312" s="201" t="s">
        <v>340</v>
      </c>
      <c r="C312" s="202">
        <v>44380.4754513889</v>
      </c>
      <c r="D312" s="202">
        <v>44380.4756944444</v>
      </c>
      <c r="E312" s="203" t="s">
        <v>343</v>
      </c>
      <c r="F312" s="204" t="s">
        <v>344</v>
      </c>
      <c r="G312" s="204">
        <v>855</v>
      </c>
      <c r="H312" s="203" t="s">
        <v>222</v>
      </c>
      <c r="I312" s="204" t="s">
        <v>341</v>
      </c>
      <c r="J312" s="204" t="s">
        <v>342</v>
      </c>
      <c r="K312" s="204" t="s">
        <v>40</v>
      </c>
      <c r="L312" s="204" t="str">
        <f>VLOOKUP(K:K,供应商清单!$A:$B,2,0)</f>
        <v>镒沣</v>
      </c>
      <c r="M312" s="204" t="s">
        <v>298</v>
      </c>
      <c r="N312" s="204">
        <v>10201160200801</v>
      </c>
      <c r="O312" s="204">
        <v>71020121030527</v>
      </c>
      <c r="P312" s="206"/>
    </row>
    <row r="313" ht="14.25" spans="1:16">
      <c r="A313" s="200">
        <v>1741</v>
      </c>
      <c r="B313" s="201" t="s">
        <v>340</v>
      </c>
      <c r="C313" s="202">
        <v>44380.4754513889</v>
      </c>
      <c r="D313" s="202">
        <v>44380.4756944444</v>
      </c>
      <c r="E313" s="203" t="s">
        <v>343</v>
      </c>
      <c r="F313" s="204" t="s">
        <v>344</v>
      </c>
      <c r="G313" s="204">
        <v>1100</v>
      </c>
      <c r="H313" s="203" t="s">
        <v>222</v>
      </c>
      <c r="I313" s="204" t="s">
        <v>341</v>
      </c>
      <c r="J313" s="204" t="s">
        <v>342</v>
      </c>
      <c r="K313" s="204" t="s">
        <v>40</v>
      </c>
      <c r="L313" s="204" t="str">
        <f>VLOOKUP(K:K,供应商清单!$A:$B,2,0)</f>
        <v>镒沣</v>
      </c>
      <c r="M313" s="204" t="s">
        <v>298</v>
      </c>
      <c r="N313" s="204">
        <v>10201160201328</v>
      </c>
      <c r="O313" s="204">
        <v>71020121030527</v>
      </c>
      <c r="P313" s="206"/>
    </row>
    <row r="314" ht="14.25" spans="1:16">
      <c r="A314" s="200">
        <v>1742</v>
      </c>
      <c r="B314" s="201" t="s">
        <v>340</v>
      </c>
      <c r="C314" s="202">
        <v>44380.4776041667</v>
      </c>
      <c r="D314" s="202">
        <v>44380.4776851852</v>
      </c>
      <c r="E314" s="203">
        <v>681074012</v>
      </c>
      <c r="F314" s="204" t="s">
        <v>345</v>
      </c>
      <c r="G314" s="204">
        <v>5000</v>
      </c>
      <c r="H314" s="203" t="s">
        <v>222</v>
      </c>
      <c r="I314" s="204" t="s">
        <v>341</v>
      </c>
      <c r="J314" s="204" t="s">
        <v>342</v>
      </c>
      <c r="K314" s="204" t="s">
        <v>25</v>
      </c>
      <c r="L314" s="204" t="str">
        <f>VLOOKUP(K:K,供应商清单!$A:$B,2,0)</f>
        <v>珊瑚</v>
      </c>
      <c r="M314" s="204" t="s">
        <v>176</v>
      </c>
      <c r="N314" s="204">
        <v>10201160201072</v>
      </c>
      <c r="O314" s="204">
        <v>71020121061441</v>
      </c>
      <c r="P314" s="206"/>
    </row>
    <row r="315" ht="14.25" spans="1:16">
      <c r="A315" s="200">
        <v>2001</v>
      </c>
      <c r="B315" s="201" t="s">
        <v>340</v>
      </c>
      <c r="C315" s="202">
        <v>44390.8141203704</v>
      </c>
      <c r="D315" s="202">
        <v>44390.8142013889</v>
      </c>
      <c r="E315" s="203" t="s">
        <v>169</v>
      </c>
      <c r="F315" s="204" t="s">
        <v>244</v>
      </c>
      <c r="G315" s="204">
        <v>2115</v>
      </c>
      <c r="H315" s="203" t="s">
        <v>222</v>
      </c>
      <c r="I315" s="204" t="s">
        <v>341</v>
      </c>
      <c r="J315" s="204" t="s">
        <v>342</v>
      </c>
      <c r="K315" s="204" t="s">
        <v>18</v>
      </c>
      <c r="L315" s="204" t="str">
        <f>VLOOKUP(K:K,供应商清单!$A:$B,2,0)</f>
        <v>中扬</v>
      </c>
      <c r="M315" s="204" t="s">
        <v>176</v>
      </c>
      <c r="N315" s="204">
        <v>10201160202669</v>
      </c>
      <c r="O315" s="204">
        <v>71020121050651</v>
      </c>
      <c r="P315" s="206"/>
    </row>
    <row r="316" ht="14.25" spans="1:16">
      <c r="A316" s="200">
        <v>2041</v>
      </c>
      <c r="B316" s="201" t="s">
        <v>340</v>
      </c>
      <c r="C316" s="202">
        <v>44385.6756134259</v>
      </c>
      <c r="D316" s="202">
        <v>44385.6758680556</v>
      </c>
      <c r="E316" s="203" t="s">
        <v>153</v>
      </c>
      <c r="F316" s="204" t="s">
        <v>220</v>
      </c>
      <c r="G316" s="204">
        <v>1300</v>
      </c>
      <c r="H316" s="203" t="s">
        <v>222</v>
      </c>
      <c r="I316" s="204" t="s">
        <v>341</v>
      </c>
      <c r="J316" s="204" t="s">
        <v>342</v>
      </c>
      <c r="K316" s="204" t="s">
        <v>25</v>
      </c>
      <c r="L316" s="204" t="str">
        <f>VLOOKUP(K:K,供应商清单!$A:$B,2,0)</f>
        <v>珊瑚</v>
      </c>
      <c r="M316" s="204" t="s">
        <v>176</v>
      </c>
      <c r="N316" s="204">
        <v>10201160202159</v>
      </c>
      <c r="O316" s="204">
        <v>71020121060138</v>
      </c>
      <c r="P316" s="206"/>
    </row>
    <row r="317" ht="14.25" spans="1:16">
      <c r="A317" s="200">
        <v>2042</v>
      </c>
      <c r="B317" s="201" t="s">
        <v>340</v>
      </c>
      <c r="C317" s="202">
        <v>44385.6756134259</v>
      </c>
      <c r="D317" s="202">
        <v>44385.6758680556</v>
      </c>
      <c r="E317" s="203" t="s">
        <v>153</v>
      </c>
      <c r="F317" s="204" t="s">
        <v>220</v>
      </c>
      <c r="G317" s="204">
        <v>940</v>
      </c>
      <c r="H317" s="203" t="s">
        <v>222</v>
      </c>
      <c r="I317" s="204" t="s">
        <v>341</v>
      </c>
      <c r="J317" s="204" t="s">
        <v>342</v>
      </c>
      <c r="K317" s="204" t="s">
        <v>25</v>
      </c>
      <c r="L317" s="204" t="str">
        <f>VLOOKUP(K:K,供应商清单!$A:$B,2,0)</f>
        <v>珊瑚</v>
      </c>
      <c r="M317" s="204" t="s">
        <v>176</v>
      </c>
      <c r="N317" s="204">
        <v>10201160202159</v>
      </c>
      <c r="O317" s="204">
        <v>71020121060138</v>
      </c>
      <c r="P317" s="206"/>
    </row>
    <row r="318" ht="14.25" spans="1:16">
      <c r="A318" s="200">
        <v>2043</v>
      </c>
      <c r="B318" s="201" t="s">
        <v>340</v>
      </c>
      <c r="C318" s="202">
        <v>44385.6756134259</v>
      </c>
      <c r="D318" s="202">
        <v>44385.6758680556</v>
      </c>
      <c r="E318" s="203" t="s">
        <v>141</v>
      </c>
      <c r="F318" s="204" t="s">
        <v>248</v>
      </c>
      <c r="G318" s="204">
        <v>3040</v>
      </c>
      <c r="H318" s="203" t="s">
        <v>222</v>
      </c>
      <c r="I318" s="204" t="s">
        <v>341</v>
      </c>
      <c r="J318" s="204" t="s">
        <v>342</v>
      </c>
      <c r="K318" s="204" t="s">
        <v>25</v>
      </c>
      <c r="L318" s="204" t="str">
        <f>VLOOKUP(K:K,供应商清单!$A:$B,2,0)</f>
        <v>珊瑚</v>
      </c>
      <c r="M318" s="204" t="s">
        <v>176</v>
      </c>
      <c r="N318" s="204">
        <v>10201160202161</v>
      </c>
      <c r="O318" s="204">
        <v>71020121061134</v>
      </c>
      <c r="P318" s="206"/>
    </row>
    <row r="319" ht="14.25" spans="1:16">
      <c r="A319" s="200">
        <v>2044</v>
      </c>
      <c r="B319" s="201" t="s">
        <v>340</v>
      </c>
      <c r="C319" s="202">
        <v>44385.6756134259</v>
      </c>
      <c r="D319" s="202">
        <v>44385.6758680556</v>
      </c>
      <c r="E319" s="203" t="s">
        <v>144</v>
      </c>
      <c r="F319" s="204" t="s">
        <v>259</v>
      </c>
      <c r="G319" s="204">
        <v>6160</v>
      </c>
      <c r="H319" s="203" t="s">
        <v>222</v>
      </c>
      <c r="I319" s="204" t="s">
        <v>341</v>
      </c>
      <c r="J319" s="204" t="s">
        <v>342</v>
      </c>
      <c r="K319" s="204" t="s">
        <v>25</v>
      </c>
      <c r="L319" s="204" t="str">
        <f>VLOOKUP(K:K,供应商清单!$A:$B,2,0)</f>
        <v>珊瑚</v>
      </c>
      <c r="M319" s="204" t="s">
        <v>176</v>
      </c>
      <c r="N319" s="204">
        <v>10201160202162</v>
      </c>
      <c r="O319" s="204">
        <v>71020121060990</v>
      </c>
      <c r="P319" s="206"/>
    </row>
    <row r="320" ht="14.25" spans="1:16">
      <c r="A320" s="200">
        <v>2045</v>
      </c>
      <c r="B320" s="201" t="s">
        <v>340</v>
      </c>
      <c r="C320" s="202">
        <v>44385.6757638889</v>
      </c>
      <c r="D320" s="202">
        <v>44385.6758680556</v>
      </c>
      <c r="E320" s="203" t="s">
        <v>144</v>
      </c>
      <c r="F320" s="204" t="s">
        <v>259</v>
      </c>
      <c r="G320" s="204">
        <v>2640</v>
      </c>
      <c r="H320" s="203" t="s">
        <v>222</v>
      </c>
      <c r="I320" s="204" t="s">
        <v>341</v>
      </c>
      <c r="J320" s="204" t="s">
        <v>342</v>
      </c>
      <c r="K320" s="204" t="s">
        <v>25</v>
      </c>
      <c r="L320" s="204" t="str">
        <f>VLOOKUP(K:K,供应商清单!$A:$B,2,0)</f>
        <v>珊瑚</v>
      </c>
      <c r="M320" s="204" t="s">
        <v>176</v>
      </c>
      <c r="N320" s="204">
        <v>10201160202162</v>
      </c>
      <c r="O320" s="204">
        <v>71020121051438</v>
      </c>
      <c r="P320" s="206"/>
    </row>
    <row r="321" ht="14.25" spans="1:16">
      <c r="A321" s="200">
        <v>2046</v>
      </c>
      <c r="B321" s="201" t="s">
        <v>340</v>
      </c>
      <c r="C321" s="202">
        <v>44385.6757638889</v>
      </c>
      <c r="D321" s="202">
        <v>44385.6758680556</v>
      </c>
      <c r="E321" s="203" t="s">
        <v>158</v>
      </c>
      <c r="F321" s="204" t="s">
        <v>257</v>
      </c>
      <c r="G321" s="204">
        <v>2640</v>
      </c>
      <c r="H321" s="203" t="s">
        <v>222</v>
      </c>
      <c r="I321" s="204" t="s">
        <v>341</v>
      </c>
      <c r="J321" s="204" t="s">
        <v>342</v>
      </c>
      <c r="K321" s="204" t="s">
        <v>25</v>
      </c>
      <c r="L321" s="204" t="str">
        <f>VLOOKUP(K:K,供应商清单!$A:$B,2,0)</f>
        <v>珊瑚</v>
      </c>
      <c r="M321" s="204" t="s">
        <v>176</v>
      </c>
      <c r="N321" s="204">
        <v>10201160202163</v>
      </c>
      <c r="O321" s="204">
        <v>71020121051438</v>
      </c>
      <c r="P321" s="206"/>
    </row>
    <row r="322" ht="14.25" spans="1:16">
      <c r="A322" s="200">
        <v>2175</v>
      </c>
      <c r="B322" s="201" t="s">
        <v>340</v>
      </c>
      <c r="C322" s="202">
        <v>44380.4745717593</v>
      </c>
      <c r="D322" s="202">
        <v>44380.4747916667</v>
      </c>
      <c r="E322" s="203" t="s">
        <v>121</v>
      </c>
      <c r="F322" s="204" t="s">
        <v>220</v>
      </c>
      <c r="G322" s="204">
        <v>1350</v>
      </c>
      <c r="H322" s="203" t="s">
        <v>222</v>
      </c>
      <c r="I322" s="204" t="s">
        <v>341</v>
      </c>
      <c r="J322" s="204" t="s">
        <v>342</v>
      </c>
      <c r="K322" s="204" t="s">
        <v>32</v>
      </c>
      <c r="L322" s="204" t="str">
        <f>VLOOKUP(K:K,供应商清单!$A:$B,2,0)</f>
        <v>迪朗</v>
      </c>
      <c r="M322" s="204" t="s">
        <v>176</v>
      </c>
      <c r="N322" s="204">
        <v>10201160201492</v>
      </c>
      <c r="O322" s="204">
        <v>71020121050338</v>
      </c>
      <c r="P322" s="206"/>
    </row>
    <row r="323" ht="14.25" spans="1:16">
      <c r="A323" s="200">
        <v>2176</v>
      </c>
      <c r="B323" s="201" t="s">
        <v>340</v>
      </c>
      <c r="C323" s="202">
        <v>44380.4745717593</v>
      </c>
      <c r="D323" s="202">
        <v>44380.4747916667</v>
      </c>
      <c r="E323" s="203" t="s">
        <v>346</v>
      </c>
      <c r="F323" s="204" t="s">
        <v>220</v>
      </c>
      <c r="G323" s="204">
        <v>500</v>
      </c>
      <c r="H323" s="203" t="s">
        <v>222</v>
      </c>
      <c r="I323" s="204" t="s">
        <v>341</v>
      </c>
      <c r="J323" s="204" t="s">
        <v>342</v>
      </c>
      <c r="K323" s="204" t="s">
        <v>18</v>
      </c>
      <c r="L323" s="204" t="str">
        <f>VLOOKUP(K:K,供应商清单!$A:$B,2,0)</f>
        <v>中扬</v>
      </c>
      <c r="M323" s="204" t="s">
        <v>176</v>
      </c>
      <c r="N323" s="204">
        <v>10201160201493</v>
      </c>
      <c r="O323" s="204">
        <v>71020121060298</v>
      </c>
      <c r="P323" s="206"/>
    </row>
    <row r="324" ht="14.25" spans="1:16">
      <c r="A324" s="200">
        <v>2177</v>
      </c>
      <c r="B324" s="201" t="s">
        <v>340</v>
      </c>
      <c r="C324" s="202">
        <v>44380.4745717593</v>
      </c>
      <c r="D324" s="202">
        <v>44380.4747916667</v>
      </c>
      <c r="E324" s="203" t="s">
        <v>346</v>
      </c>
      <c r="F324" s="204" t="s">
        <v>220</v>
      </c>
      <c r="G324" s="204">
        <v>600</v>
      </c>
      <c r="H324" s="203" t="s">
        <v>222</v>
      </c>
      <c r="I324" s="204" t="s">
        <v>341</v>
      </c>
      <c r="J324" s="204" t="s">
        <v>342</v>
      </c>
      <c r="K324" s="204" t="s">
        <v>18</v>
      </c>
      <c r="L324" s="204" t="str">
        <f>VLOOKUP(K:K,供应商清单!$A:$B,2,0)</f>
        <v>中扬</v>
      </c>
      <c r="M324" s="204" t="s">
        <v>176</v>
      </c>
      <c r="N324" s="204">
        <v>10201160201493</v>
      </c>
      <c r="O324" s="204">
        <v>71020121060298</v>
      </c>
      <c r="P324" s="206"/>
    </row>
    <row r="325" ht="14.25" spans="1:16">
      <c r="A325" s="200">
        <v>2178</v>
      </c>
      <c r="B325" s="201" t="s">
        <v>340</v>
      </c>
      <c r="C325" s="202">
        <v>44380.4745717593</v>
      </c>
      <c r="D325" s="202">
        <v>44380.4747916667</v>
      </c>
      <c r="E325" s="203" t="s">
        <v>172</v>
      </c>
      <c r="F325" s="204" t="s">
        <v>220</v>
      </c>
      <c r="G325" s="204">
        <v>1352</v>
      </c>
      <c r="H325" s="203" t="s">
        <v>222</v>
      </c>
      <c r="I325" s="204" t="s">
        <v>341</v>
      </c>
      <c r="J325" s="204" t="s">
        <v>342</v>
      </c>
      <c r="K325" s="204" t="s">
        <v>18</v>
      </c>
      <c r="L325" s="204" t="str">
        <f>VLOOKUP(K:K,供应商清单!$A:$B,2,0)</f>
        <v>中扬</v>
      </c>
      <c r="M325" s="204" t="s">
        <v>176</v>
      </c>
      <c r="N325" s="204">
        <v>10201160201497</v>
      </c>
      <c r="O325" s="204">
        <v>71020121051437</v>
      </c>
      <c r="P325" s="206"/>
    </row>
    <row r="326" ht="14.25" spans="1:16">
      <c r="A326" s="200">
        <v>2179</v>
      </c>
      <c r="B326" s="201" t="s">
        <v>340</v>
      </c>
      <c r="C326" s="202">
        <v>44380.4759027778</v>
      </c>
      <c r="D326" s="202">
        <v>44380.4765046296</v>
      </c>
      <c r="E326" s="203" t="s">
        <v>169</v>
      </c>
      <c r="F326" s="204" t="s">
        <v>244</v>
      </c>
      <c r="G326" s="204">
        <v>1859</v>
      </c>
      <c r="H326" s="203" t="s">
        <v>222</v>
      </c>
      <c r="I326" s="204" t="s">
        <v>341</v>
      </c>
      <c r="J326" s="204" t="s">
        <v>342</v>
      </c>
      <c r="K326" s="204" t="s">
        <v>18</v>
      </c>
      <c r="L326" s="204" t="str">
        <f>VLOOKUP(K:K,供应商清单!$A:$B,2,0)</f>
        <v>中扬</v>
      </c>
      <c r="M326" s="204" t="s">
        <v>176</v>
      </c>
      <c r="N326" s="204">
        <v>10201160201075</v>
      </c>
      <c r="O326" s="204">
        <v>71020121050651</v>
      </c>
      <c r="P326" s="206"/>
    </row>
    <row r="327" ht="14.25" spans="1:16">
      <c r="A327" s="200">
        <v>2180</v>
      </c>
      <c r="B327" s="201" t="s">
        <v>340</v>
      </c>
      <c r="C327" s="202">
        <v>44380.4759027778</v>
      </c>
      <c r="D327" s="202">
        <v>44380.4765046296</v>
      </c>
      <c r="E327" s="203" t="s">
        <v>163</v>
      </c>
      <c r="F327" s="204" t="s">
        <v>243</v>
      </c>
      <c r="G327" s="204">
        <v>840</v>
      </c>
      <c r="H327" s="203" t="s">
        <v>222</v>
      </c>
      <c r="I327" s="204" t="s">
        <v>341</v>
      </c>
      <c r="J327" s="204" t="s">
        <v>342</v>
      </c>
      <c r="K327" s="204" t="s">
        <v>18</v>
      </c>
      <c r="L327" s="204" t="str">
        <f>VLOOKUP(K:K,供应商清单!$A:$B,2,0)</f>
        <v>中扬</v>
      </c>
      <c r="M327" s="204" t="s">
        <v>176</v>
      </c>
      <c r="N327" s="204">
        <v>10201160201076</v>
      </c>
      <c r="O327" s="204">
        <v>71020121032236</v>
      </c>
      <c r="P327" s="206"/>
    </row>
    <row r="328" ht="14.25" spans="1:16">
      <c r="A328" s="200">
        <v>2239</v>
      </c>
      <c r="B328" s="201" t="s">
        <v>340</v>
      </c>
      <c r="C328" s="202">
        <v>44386.9624189815</v>
      </c>
      <c r="D328" s="202">
        <v>44386.9625694444</v>
      </c>
      <c r="E328" s="203" t="s">
        <v>145</v>
      </c>
      <c r="F328" s="204" t="s">
        <v>256</v>
      </c>
      <c r="G328" s="204">
        <v>4000</v>
      </c>
      <c r="H328" s="203" t="s">
        <v>222</v>
      </c>
      <c r="I328" s="204" t="s">
        <v>341</v>
      </c>
      <c r="J328" s="204" t="s">
        <v>342</v>
      </c>
      <c r="K328" s="204" t="s">
        <v>25</v>
      </c>
      <c r="L328" s="204" t="str">
        <f>VLOOKUP(K:K,供应商清单!$A:$B,2,0)</f>
        <v>珊瑚</v>
      </c>
      <c r="M328" s="204" t="s">
        <v>176</v>
      </c>
      <c r="N328" s="204">
        <v>10201160202452</v>
      </c>
      <c r="O328" s="204">
        <v>71020121050337</v>
      </c>
      <c r="P328" s="206"/>
    </row>
    <row r="329" ht="14.25" spans="1:16">
      <c r="A329" s="200">
        <v>2240</v>
      </c>
      <c r="B329" s="201" t="s">
        <v>340</v>
      </c>
      <c r="C329" s="202">
        <v>44386.9627893519</v>
      </c>
      <c r="D329" s="202">
        <v>44386.9628819444</v>
      </c>
      <c r="E329" s="203" t="s">
        <v>145</v>
      </c>
      <c r="F329" s="204" t="s">
        <v>256</v>
      </c>
      <c r="G329" s="204">
        <v>3477</v>
      </c>
      <c r="H329" s="203" t="s">
        <v>222</v>
      </c>
      <c r="I329" s="204" t="s">
        <v>341</v>
      </c>
      <c r="J329" s="204" t="s">
        <v>342</v>
      </c>
      <c r="K329" s="204" t="s">
        <v>25</v>
      </c>
      <c r="L329" s="204" t="str">
        <f>VLOOKUP(K:K,供应商清单!$A:$B,2,0)</f>
        <v>珊瑚</v>
      </c>
      <c r="M329" s="204" t="s">
        <v>176</v>
      </c>
      <c r="N329" s="204">
        <v>10201160202452</v>
      </c>
      <c r="O329" s="204">
        <v>71020121050337</v>
      </c>
      <c r="P329" s="206"/>
    </row>
    <row r="330" ht="14.25" spans="1:16">
      <c r="A330" s="200">
        <v>2241</v>
      </c>
      <c r="B330" s="201" t="s">
        <v>340</v>
      </c>
      <c r="C330" s="202">
        <v>44386.9631828704</v>
      </c>
      <c r="D330" s="202">
        <v>44386.9632638889</v>
      </c>
      <c r="E330" s="203" t="s">
        <v>145</v>
      </c>
      <c r="F330" s="204" t="s">
        <v>256</v>
      </c>
      <c r="G330" s="204">
        <v>623</v>
      </c>
      <c r="H330" s="203" t="s">
        <v>222</v>
      </c>
      <c r="I330" s="204" t="s">
        <v>341</v>
      </c>
      <c r="J330" s="204" t="s">
        <v>342</v>
      </c>
      <c r="K330" s="204" t="s">
        <v>25</v>
      </c>
      <c r="L330" s="204" t="str">
        <f>VLOOKUP(K:K,供应商清单!$A:$B,2,0)</f>
        <v>珊瑚</v>
      </c>
      <c r="M330" s="204" t="s">
        <v>176</v>
      </c>
      <c r="N330" s="204">
        <v>10201160202452</v>
      </c>
      <c r="O330" s="204">
        <v>71020121050650</v>
      </c>
      <c r="P330" s="206"/>
    </row>
    <row r="331" ht="14.25" spans="1:16">
      <c r="A331" s="200">
        <v>2242</v>
      </c>
      <c r="B331" s="201" t="s">
        <v>340</v>
      </c>
      <c r="C331" s="202">
        <v>44386.9633680556</v>
      </c>
      <c r="D331" s="202">
        <v>44386.9634490741</v>
      </c>
      <c r="E331" s="203" t="s">
        <v>145</v>
      </c>
      <c r="F331" s="204" t="s">
        <v>256</v>
      </c>
      <c r="G331" s="204">
        <v>1500</v>
      </c>
      <c r="H331" s="203" t="s">
        <v>222</v>
      </c>
      <c r="I331" s="204" t="s">
        <v>341</v>
      </c>
      <c r="J331" s="204" t="s">
        <v>342</v>
      </c>
      <c r="K331" s="204" t="s">
        <v>25</v>
      </c>
      <c r="L331" s="204" t="str">
        <f>VLOOKUP(K:K,供应商清单!$A:$B,2,0)</f>
        <v>珊瑚</v>
      </c>
      <c r="M331" s="204" t="s">
        <v>176</v>
      </c>
      <c r="N331" s="204">
        <v>10201160202452</v>
      </c>
      <c r="O331" s="204">
        <v>71020121051438</v>
      </c>
      <c r="P331" s="206"/>
    </row>
    <row r="332" ht="14.25" spans="1:16">
      <c r="A332" s="200">
        <v>2486</v>
      </c>
      <c r="B332" s="201" t="s">
        <v>340</v>
      </c>
      <c r="C332" s="202">
        <v>44392.9177083333</v>
      </c>
      <c r="D332" s="202">
        <v>44392.9185069444</v>
      </c>
      <c r="E332" s="203" t="s">
        <v>165</v>
      </c>
      <c r="F332" s="204" t="s">
        <v>246</v>
      </c>
      <c r="G332" s="204">
        <v>4398</v>
      </c>
      <c r="H332" s="203" t="s">
        <v>222</v>
      </c>
      <c r="I332" s="204" t="s">
        <v>347</v>
      </c>
      <c r="J332" s="204" t="s">
        <v>342</v>
      </c>
      <c r="K332" s="204" t="s">
        <v>18</v>
      </c>
      <c r="L332" s="204" t="str">
        <f>VLOOKUP(K:K,供应商清单!$A:$B,2,0)</f>
        <v>中扬</v>
      </c>
      <c r="M332" s="204" t="s">
        <v>176</v>
      </c>
      <c r="N332" s="204">
        <v>10201160203290</v>
      </c>
      <c r="O332" s="204">
        <v>71020121051437</v>
      </c>
      <c r="P332" s="206"/>
    </row>
    <row r="333" ht="14.25" spans="1:16">
      <c r="A333" s="200">
        <v>2487</v>
      </c>
      <c r="B333" s="201" t="s">
        <v>340</v>
      </c>
      <c r="C333" s="202">
        <v>44392.9177083333</v>
      </c>
      <c r="D333" s="202">
        <v>44392.9185069444</v>
      </c>
      <c r="E333" s="203" t="s">
        <v>165</v>
      </c>
      <c r="F333" s="204" t="s">
        <v>246</v>
      </c>
      <c r="G333" s="204">
        <v>1442</v>
      </c>
      <c r="H333" s="203" t="s">
        <v>222</v>
      </c>
      <c r="I333" s="204" t="s">
        <v>341</v>
      </c>
      <c r="J333" s="204" t="s">
        <v>342</v>
      </c>
      <c r="K333" s="204" t="s">
        <v>18</v>
      </c>
      <c r="L333" s="204" t="str">
        <f>VLOOKUP(K:K,供应商清单!$A:$B,2,0)</f>
        <v>中扬</v>
      </c>
      <c r="M333" s="204" t="s">
        <v>176</v>
      </c>
      <c r="N333" s="204">
        <v>10201160203290</v>
      </c>
      <c r="O333" s="204">
        <v>71020121051437</v>
      </c>
      <c r="P333" s="206"/>
    </row>
    <row r="334" ht="14.25" spans="1:16">
      <c r="A334" s="200">
        <v>2488</v>
      </c>
      <c r="B334" s="201" t="s">
        <v>340</v>
      </c>
      <c r="C334" s="202">
        <v>44392.9177083333</v>
      </c>
      <c r="D334" s="202">
        <v>44392.9185069444</v>
      </c>
      <c r="E334" s="203" t="s">
        <v>101</v>
      </c>
      <c r="F334" s="204" t="s">
        <v>220</v>
      </c>
      <c r="G334" s="204">
        <v>1380</v>
      </c>
      <c r="H334" s="203" t="s">
        <v>222</v>
      </c>
      <c r="I334" s="204" t="s">
        <v>341</v>
      </c>
      <c r="J334" s="204" t="s">
        <v>342</v>
      </c>
      <c r="K334" s="204" t="s">
        <v>18</v>
      </c>
      <c r="L334" s="204" t="str">
        <f>VLOOKUP(K:K,供应商清单!$A:$B,2,0)</f>
        <v>中扬</v>
      </c>
      <c r="M334" s="204" t="s">
        <v>176</v>
      </c>
      <c r="N334" s="204">
        <v>10201160203291</v>
      </c>
      <c r="O334" s="204">
        <v>71020121060992</v>
      </c>
      <c r="P334" s="206"/>
    </row>
    <row r="335" ht="14.25" spans="1:16">
      <c r="A335" s="200">
        <v>2489</v>
      </c>
      <c r="B335" s="201" t="s">
        <v>340</v>
      </c>
      <c r="C335" s="202">
        <v>44392.9177083333</v>
      </c>
      <c r="D335" s="202">
        <v>44392.9185069444</v>
      </c>
      <c r="E335" s="203" t="s">
        <v>101</v>
      </c>
      <c r="F335" s="204" t="s">
        <v>220</v>
      </c>
      <c r="G335" s="204">
        <v>3000</v>
      </c>
      <c r="H335" s="203" t="s">
        <v>222</v>
      </c>
      <c r="I335" s="204" t="s">
        <v>341</v>
      </c>
      <c r="J335" s="204" t="s">
        <v>342</v>
      </c>
      <c r="K335" s="204" t="s">
        <v>18</v>
      </c>
      <c r="L335" s="204" t="str">
        <f>VLOOKUP(K:K,供应商清单!$A:$B,2,0)</f>
        <v>中扬</v>
      </c>
      <c r="M335" s="204" t="s">
        <v>176</v>
      </c>
      <c r="N335" s="204">
        <v>10201160203291</v>
      </c>
      <c r="O335" s="204">
        <v>71020121060992</v>
      </c>
      <c r="P335" s="206"/>
    </row>
    <row r="336" ht="14.25" spans="1:16">
      <c r="A336" s="200">
        <v>2490</v>
      </c>
      <c r="B336" s="201" t="s">
        <v>340</v>
      </c>
      <c r="C336" s="202">
        <v>44392.9177083333</v>
      </c>
      <c r="D336" s="202">
        <v>44392.9185069444</v>
      </c>
      <c r="E336" s="203" t="s">
        <v>101</v>
      </c>
      <c r="F336" s="204" t="s">
        <v>220</v>
      </c>
      <c r="G336" s="204">
        <v>1203</v>
      </c>
      <c r="H336" s="203" t="s">
        <v>222</v>
      </c>
      <c r="I336" s="204" t="s">
        <v>341</v>
      </c>
      <c r="J336" s="204" t="s">
        <v>342</v>
      </c>
      <c r="K336" s="204" t="s">
        <v>18</v>
      </c>
      <c r="L336" s="204" t="str">
        <f>VLOOKUP(K:K,供应商清单!$A:$B,2,0)</f>
        <v>中扬</v>
      </c>
      <c r="M336" s="204" t="s">
        <v>176</v>
      </c>
      <c r="N336" s="204">
        <v>10201160203292</v>
      </c>
      <c r="O336" s="204">
        <v>71020121060992</v>
      </c>
      <c r="P336" s="206"/>
    </row>
    <row r="337" ht="14.25" spans="1:16">
      <c r="A337" s="200">
        <v>2491</v>
      </c>
      <c r="B337" s="201" t="s">
        <v>340</v>
      </c>
      <c r="C337" s="202">
        <v>44392.9181944444</v>
      </c>
      <c r="D337" s="202">
        <v>44392.9185069444</v>
      </c>
      <c r="E337" s="203" t="s">
        <v>101</v>
      </c>
      <c r="F337" s="204" t="s">
        <v>220</v>
      </c>
      <c r="G337" s="204">
        <v>2297</v>
      </c>
      <c r="H337" s="203" t="s">
        <v>222</v>
      </c>
      <c r="I337" s="204" t="s">
        <v>341</v>
      </c>
      <c r="J337" s="204" t="s">
        <v>342</v>
      </c>
      <c r="K337" s="204" t="s">
        <v>18</v>
      </c>
      <c r="L337" s="204" t="str">
        <f>VLOOKUP(K:K,供应商清单!$A:$B,2,0)</f>
        <v>中扬</v>
      </c>
      <c r="M337" s="204" t="s">
        <v>176</v>
      </c>
      <c r="N337" s="204">
        <v>10201160203292</v>
      </c>
      <c r="O337" s="204">
        <v>71020121060992</v>
      </c>
      <c r="P337" s="206"/>
    </row>
    <row r="338" ht="14.25" spans="1:16">
      <c r="A338" s="200">
        <v>2608</v>
      </c>
      <c r="B338" s="201" t="s">
        <v>340</v>
      </c>
      <c r="C338" s="202">
        <v>44389.7385416667</v>
      </c>
      <c r="D338" s="202">
        <v>44389.7387962963</v>
      </c>
      <c r="E338" s="203" t="s">
        <v>144</v>
      </c>
      <c r="F338" s="204" t="s">
        <v>259</v>
      </c>
      <c r="G338" s="204">
        <v>3120</v>
      </c>
      <c r="H338" s="203" t="s">
        <v>222</v>
      </c>
      <c r="I338" s="204" t="s">
        <v>341</v>
      </c>
      <c r="J338" s="204" t="s">
        <v>342</v>
      </c>
      <c r="K338" s="204" t="s">
        <v>25</v>
      </c>
      <c r="L338" s="204" t="str">
        <f>VLOOKUP(K:K,供应商清单!$A:$B,2,0)</f>
        <v>珊瑚</v>
      </c>
      <c r="M338" s="204" t="s">
        <v>176</v>
      </c>
      <c r="N338" s="204">
        <v>10201160202666</v>
      </c>
      <c r="O338" s="204">
        <v>71020121060990</v>
      </c>
      <c r="P338" s="206"/>
    </row>
    <row r="339" ht="14.25" spans="1:16">
      <c r="A339" s="200">
        <v>2609</v>
      </c>
      <c r="B339" s="201" t="s">
        <v>340</v>
      </c>
      <c r="C339" s="202">
        <v>44389.7385416667</v>
      </c>
      <c r="D339" s="202">
        <v>44389.7387962963</v>
      </c>
      <c r="E339" s="203" t="s">
        <v>144</v>
      </c>
      <c r="F339" s="204" t="s">
        <v>259</v>
      </c>
      <c r="G339" s="204">
        <v>8080</v>
      </c>
      <c r="H339" s="203" t="s">
        <v>222</v>
      </c>
      <c r="I339" s="204" t="s">
        <v>341</v>
      </c>
      <c r="J339" s="204" t="s">
        <v>342</v>
      </c>
      <c r="K339" s="204" t="s">
        <v>25</v>
      </c>
      <c r="L339" s="204" t="str">
        <f>VLOOKUP(K:K,供应商清单!$A:$B,2,0)</f>
        <v>珊瑚</v>
      </c>
      <c r="M339" s="204" t="s">
        <v>176</v>
      </c>
      <c r="N339" s="204">
        <v>10201160202666</v>
      </c>
      <c r="O339" s="204">
        <v>71020121060990</v>
      </c>
      <c r="P339" s="206"/>
    </row>
    <row r="340" ht="14.25" spans="1:16">
      <c r="A340" s="200">
        <v>2653</v>
      </c>
      <c r="B340" s="201" t="s">
        <v>340</v>
      </c>
      <c r="C340" s="202">
        <v>44390.8143865741</v>
      </c>
      <c r="D340" s="202">
        <v>44390.8145486111</v>
      </c>
      <c r="E340" s="203" t="s">
        <v>110</v>
      </c>
      <c r="F340" s="204" t="s">
        <v>220</v>
      </c>
      <c r="G340" s="204">
        <v>1391</v>
      </c>
      <c r="H340" s="203" t="s">
        <v>222</v>
      </c>
      <c r="I340" s="204" t="s">
        <v>341</v>
      </c>
      <c r="J340" s="204" t="s">
        <v>342</v>
      </c>
      <c r="K340" s="204" t="s">
        <v>34</v>
      </c>
      <c r="L340" s="204" t="str">
        <f>VLOOKUP(K:K,供应商清单!$A:$B,2,0)</f>
        <v>大长今</v>
      </c>
      <c r="M340" s="204" t="s">
        <v>176</v>
      </c>
      <c r="N340" s="204">
        <v>10201160202670</v>
      </c>
      <c r="O340" s="204">
        <v>71020121050870</v>
      </c>
      <c r="P340" s="206"/>
    </row>
    <row r="341" ht="14.25" spans="1:16">
      <c r="A341" s="200">
        <v>2654</v>
      </c>
      <c r="B341" s="201" t="s">
        <v>340</v>
      </c>
      <c r="C341" s="202">
        <v>44390.8143865741</v>
      </c>
      <c r="D341" s="202">
        <v>44390.8145486111</v>
      </c>
      <c r="E341" s="203" t="s">
        <v>110</v>
      </c>
      <c r="F341" s="204" t="s">
        <v>220</v>
      </c>
      <c r="G341" s="204">
        <v>1093</v>
      </c>
      <c r="H341" s="203" t="s">
        <v>222</v>
      </c>
      <c r="I341" s="204" t="s">
        <v>341</v>
      </c>
      <c r="J341" s="204" t="s">
        <v>342</v>
      </c>
      <c r="K341" s="204" t="s">
        <v>34</v>
      </c>
      <c r="L341" s="204" t="str">
        <f>VLOOKUP(K:K,供应商清单!$A:$B,2,0)</f>
        <v>大长今</v>
      </c>
      <c r="M341" s="204" t="s">
        <v>176</v>
      </c>
      <c r="N341" s="204">
        <v>10201160202670</v>
      </c>
      <c r="O341" s="204">
        <v>71020121032241</v>
      </c>
      <c r="P341" s="206"/>
    </row>
    <row r="342" ht="14.25" spans="1:16">
      <c r="A342" s="200">
        <v>2655</v>
      </c>
      <c r="B342" s="201" t="s">
        <v>340</v>
      </c>
      <c r="C342" s="202">
        <v>44390.8143865741</v>
      </c>
      <c r="D342" s="202">
        <v>44390.8145486111</v>
      </c>
      <c r="E342" s="203" t="s">
        <v>110</v>
      </c>
      <c r="F342" s="204" t="s">
        <v>220</v>
      </c>
      <c r="G342" s="204">
        <v>218</v>
      </c>
      <c r="H342" s="203" t="s">
        <v>222</v>
      </c>
      <c r="I342" s="204" t="s">
        <v>341</v>
      </c>
      <c r="J342" s="204" t="s">
        <v>342</v>
      </c>
      <c r="K342" s="204" t="s">
        <v>34</v>
      </c>
      <c r="L342" s="204" t="str">
        <f>VLOOKUP(K:K,供应商清单!$A:$B,2,0)</f>
        <v>大长今</v>
      </c>
      <c r="M342" s="204" t="s">
        <v>176</v>
      </c>
      <c r="N342" s="204">
        <v>10201160202670</v>
      </c>
      <c r="O342" s="204">
        <v>71020121050653</v>
      </c>
      <c r="P342" s="206"/>
    </row>
    <row r="343" ht="14.25" spans="1:16">
      <c r="A343" s="200">
        <v>2681</v>
      </c>
      <c r="B343" s="201" t="s">
        <v>340</v>
      </c>
      <c r="C343" s="202">
        <v>44391.6426967593</v>
      </c>
      <c r="D343" s="202">
        <v>44391.6431828704</v>
      </c>
      <c r="E343" s="203" t="s">
        <v>107</v>
      </c>
      <c r="F343" s="204" t="s">
        <v>220</v>
      </c>
      <c r="G343" s="204">
        <v>2160</v>
      </c>
      <c r="H343" s="203" t="s">
        <v>222</v>
      </c>
      <c r="I343" s="204" t="s">
        <v>341</v>
      </c>
      <c r="J343" s="204" t="s">
        <v>342</v>
      </c>
      <c r="K343" s="204" t="s">
        <v>34</v>
      </c>
      <c r="L343" s="204" t="str">
        <f>VLOOKUP(K:K,供应商清单!$A:$B,2,0)</f>
        <v>大长今</v>
      </c>
      <c r="M343" s="204" t="s">
        <v>176</v>
      </c>
      <c r="N343" s="204">
        <v>10201160203039</v>
      </c>
      <c r="O343" s="204">
        <v>71020121060808</v>
      </c>
      <c r="P343" s="206"/>
    </row>
    <row r="344" ht="14.25" spans="1:16">
      <c r="A344" s="200">
        <v>2682</v>
      </c>
      <c r="B344" s="201" t="s">
        <v>340</v>
      </c>
      <c r="C344" s="202">
        <v>44391.6426967593</v>
      </c>
      <c r="D344" s="202">
        <v>44391.6431828704</v>
      </c>
      <c r="E344" s="203" t="s">
        <v>107</v>
      </c>
      <c r="F344" s="204" t="s">
        <v>220</v>
      </c>
      <c r="G344" s="204">
        <v>2840</v>
      </c>
      <c r="H344" s="203" t="s">
        <v>222</v>
      </c>
      <c r="I344" s="204" t="s">
        <v>341</v>
      </c>
      <c r="J344" s="204" t="s">
        <v>342</v>
      </c>
      <c r="K344" s="204" t="s">
        <v>34</v>
      </c>
      <c r="L344" s="204" t="str">
        <f>VLOOKUP(K:K,供应商清单!$A:$B,2,0)</f>
        <v>大长今</v>
      </c>
      <c r="M344" s="204" t="s">
        <v>176</v>
      </c>
      <c r="N344" s="204">
        <v>10201160203039</v>
      </c>
      <c r="O344" s="204">
        <v>71020121060808</v>
      </c>
      <c r="P344" s="206"/>
    </row>
    <row r="345" ht="14.25" spans="1:16">
      <c r="A345" s="200">
        <v>2683</v>
      </c>
      <c r="B345" s="201" t="s">
        <v>340</v>
      </c>
      <c r="C345" s="202">
        <v>44391.6426967593</v>
      </c>
      <c r="D345" s="202">
        <v>44391.6431944444</v>
      </c>
      <c r="E345" s="203" t="s">
        <v>108</v>
      </c>
      <c r="F345" s="204" t="s">
        <v>220</v>
      </c>
      <c r="G345" s="204">
        <v>2520</v>
      </c>
      <c r="H345" s="203" t="s">
        <v>222</v>
      </c>
      <c r="I345" s="204" t="s">
        <v>341</v>
      </c>
      <c r="J345" s="204" t="s">
        <v>342</v>
      </c>
      <c r="K345" s="204" t="s">
        <v>34</v>
      </c>
      <c r="L345" s="204" t="str">
        <f>VLOOKUP(K:K,供应商清单!$A:$B,2,0)</f>
        <v>大长今</v>
      </c>
      <c r="M345" s="204" t="s">
        <v>176</v>
      </c>
      <c r="N345" s="204">
        <v>10201160203045</v>
      </c>
      <c r="O345" s="204">
        <v>71020121051194</v>
      </c>
      <c r="P345" s="206"/>
    </row>
    <row r="346" ht="14.25" spans="1:16">
      <c r="A346" s="200">
        <v>2684</v>
      </c>
      <c r="B346" s="201" t="s">
        <v>340</v>
      </c>
      <c r="C346" s="202">
        <v>44391.6426967593</v>
      </c>
      <c r="D346" s="202">
        <v>44391.6431944444</v>
      </c>
      <c r="E346" s="203" t="s">
        <v>165</v>
      </c>
      <c r="F346" s="204" t="s">
        <v>246</v>
      </c>
      <c r="G346" s="204">
        <v>200</v>
      </c>
      <c r="H346" s="203" t="s">
        <v>222</v>
      </c>
      <c r="I346" s="204" t="s">
        <v>341</v>
      </c>
      <c r="J346" s="204" t="s">
        <v>342</v>
      </c>
      <c r="K346" s="204" t="s">
        <v>18</v>
      </c>
      <c r="L346" s="204" t="str">
        <f>VLOOKUP(K:K,供应商清单!$A:$B,2,0)</f>
        <v>中扬</v>
      </c>
      <c r="M346" s="204" t="s">
        <v>176</v>
      </c>
      <c r="N346" s="204">
        <v>10201160203049</v>
      </c>
      <c r="O346" s="204">
        <v>71020121051437</v>
      </c>
      <c r="P346" s="206"/>
    </row>
    <row r="347" ht="14.25" spans="1:16">
      <c r="A347" s="200">
        <v>2685</v>
      </c>
      <c r="B347" s="201" t="s">
        <v>340</v>
      </c>
      <c r="C347" s="202">
        <v>44391.6426967593</v>
      </c>
      <c r="D347" s="202">
        <v>44391.6431944444</v>
      </c>
      <c r="E347" s="203" t="s">
        <v>161</v>
      </c>
      <c r="F347" s="204" t="s">
        <v>220</v>
      </c>
      <c r="G347" s="204">
        <v>90</v>
      </c>
      <c r="H347" s="203" t="s">
        <v>222</v>
      </c>
      <c r="I347" s="204" t="s">
        <v>341</v>
      </c>
      <c r="J347" s="204" t="s">
        <v>342</v>
      </c>
      <c r="K347" s="204" t="s">
        <v>25</v>
      </c>
      <c r="L347" s="204" t="str">
        <f>VLOOKUP(K:K,供应商清单!$A:$B,2,0)</f>
        <v>珊瑚</v>
      </c>
      <c r="M347" s="204" t="s">
        <v>176</v>
      </c>
      <c r="N347" s="204">
        <v>10201160203158</v>
      </c>
      <c r="O347" s="204">
        <v>71020121031262</v>
      </c>
      <c r="P347" s="206"/>
    </row>
    <row r="348" ht="14.25" spans="1:16">
      <c r="A348" s="200">
        <v>2686</v>
      </c>
      <c r="B348" s="201" t="s">
        <v>340</v>
      </c>
      <c r="C348" s="202">
        <v>44391.6426967593</v>
      </c>
      <c r="D348" s="202">
        <v>44391.6431944444</v>
      </c>
      <c r="E348" s="203" t="s">
        <v>149</v>
      </c>
      <c r="F348" s="204" t="s">
        <v>229</v>
      </c>
      <c r="G348" s="204">
        <v>1908</v>
      </c>
      <c r="H348" s="203" t="s">
        <v>222</v>
      </c>
      <c r="I348" s="204" t="s">
        <v>341</v>
      </c>
      <c r="J348" s="204" t="s">
        <v>342</v>
      </c>
      <c r="K348" s="204" t="s">
        <v>25</v>
      </c>
      <c r="L348" s="204" t="str">
        <f>VLOOKUP(K:K,供应商清单!$A:$B,2,0)</f>
        <v>珊瑚</v>
      </c>
      <c r="M348" s="204" t="s">
        <v>176</v>
      </c>
      <c r="N348" s="204">
        <v>10201160203159</v>
      </c>
      <c r="O348" s="204">
        <v>71020121060623</v>
      </c>
      <c r="P348" s="206"/>
    </row>
    <row r="349" ht="14.25" spans="1:16">
      <c r="A349" s="200">
        <v>2687</v>
      </c>
      <c r="B349" s="201" t="s">
        <v>340</v>
      </c>
      <c r="C349" s="202">
        <v>44391.6426967593</v>
      </c>
      <c r="D349" s="202">
        <v>44391.6431944444</v>
      </c>
      <c r="E349" s="203" t="s">
        <v>144</v>
      </c>
      <c r="F349" s="204" t="s">
        <v>259</v>
      </c>
      <c r="G349" s="204">
        <v>2108</v>
      </c>
      <c r="H349" s="203" t="s">
        <v>222</v>
      </c>
      <c r="I349" s="204" t="s">
        <v>341</v>
      </c>
      <c r="J349" s="204" t="s">
        <v>342</v>
      </c>
      <c r="K349" s="204" t="s">
        <v>25</v>
      </c>
      <c r="L349" s="204" t="str">
        <f>VLOOKUP(K:K,供应商清单!$A:$B,2,0)</f>
        <v>珊瑚</v>
      </c>
      <c r="M349" s="204" t="s">
        <v>176</v>
      </c>
      <c r="N349" s="204">
        <v>10201160203160</v>
      </c>
      <c r="O349" s="204">
        <v>71020121070032</v>
      </c>
      <c r="P349" s="206"/>
    </row>
    <row r="350" ht="14.25" spans="1:16">
      <c r="A350" s="200">
        <v>2688</v>
      </c>
      <c r="B350" s="201" t="s">
        <v>340</v>
      </c>
      <c r="C350" s="202">
        <v>44391.6428703704</v>
      </c>
      <c r="D350" s="202">
        <v>44391.6431944444</v>
      </c>
      <c r="E350" s="203" t="s">
        <v>144</v>
      </c>
      <c r="F350" s="204" t="s">
        <v>259</v>
      </c>
      <c r="G350" s="204">
        <v>2132</v>
      </c>
      <c r="H350" s="203" t="s">
        <v>222</v>
      </c>
      <c r="I350" s="204" t="s">
        <v>341</v>
      </c>
      <c r="J350" s="204" t="s">
        <v>342</v>
      </c>
      <c r="K350" s="204" t="s">
        <v>25</v>
      </c>
      <c r="L350" s="204" t="str">
        <f>VLOOKUP(K:K,供应商清单!$A:$B,2,0)</f>
        <v>珊瑚</v>
      </c>
      <c r="M350" s="204" t="s">
        <v>176</v>
      </c>
      <c r="N350" s="204">
        <v>10201160203160</v>
      </c>
      <c r="O350" s="204">
        <v>71020121070032</v>
      </c>
      <c r="P350" s="206"/>
    </row>
    <row r="351" ht="14.25" spans="1:16">
      <c r="A351" s="200">
        <v>2689</v>
      </c>
      <c r="B351" s="201" t="s">
        <v>340</v>
      </c>
      <c r="C351" s="202">
        <v>44391.6428819444</v>
      </c>
      <c r="D351" s="202">
        <v>44391.6431944444</v>
      </c>
      <c r="E351" s="203" t="s">
        <v>144</v>
      </c>
      <c r="F351" s="204" t="s">
        <v>259</v>
      </c>
      <c r="G351" s="204">
        <v>5360</v>
      </c>
      <c r="H351" s="203" t="s">
        <v>222</v>
      </c>
      <c r="I351" s="204" t="s">
        <v>341</v>
      </c>
      <c r="J351" s="204" t="s">
        <v>342</v>
      </c>
      <c r="K351" s="204" t="s">
        <v>25</v>
      </c>
      <c r="L351" s="204" t="str">
        <f>VLOOKUP(K:K,供应商清单!$A:$B,2,0)</f>
        <v>珊瑚</v>
      </c>
      <c r="M351" s="204" t="s">
        <v>176</v>
      </c>
      <c r="N351" s="204">
        <v>10201160203160</v>
      </c>
      <c r="O351" s="204">
        <v>71020121060990</v>
      </c>
      <c r="P351" s="206"/>
    </row>
    <row r="352" ht="14.25" spans="1:16">
      <c r="A352" s="200">
        <v>2690</v>
      </c>
      <c r="B352" s="201" t="s">
        <v>340</v>
      </c>
      <c r="C352" s="202">
        <v>44391.6428935185</v>
      </c>
      <c r="D352" s="202">
        <v>44391.6431944444</v>
      </c>
      <c r="E352" s="203" t="s">
        <v>144</v>
      </c>
      <c r="F352" s="204" t="s">
        <v>259</v>
      </c>
      <c r="G352" s="204">
        <v>8640</v>
      </c>
      <c r="H352" s="203" t="s">
        <v>222</v>
      </c>
      <c r="I352" s="204" t="s">
        <v>341</v>
      </c>
      <c r="J352" s="204" t="s">
        <v>342</v>
      </c>
      <c r="K352" s="204" t="s">
        <v>25</v>
      </c>
      <c r="L352" s="204" t="str">
        <f>VLOOKUP(K:K,供应商清单!$A:$B,2,0)</f>
        <v>珊瑚</v>
      </c>
      <c r="M352" s="204" t="s">
        <v>176</v>
      </c>
      <c r="N352" s="204">
        <v>10201160203161</v>
      </c>
      <c r="O352" s="204">
        <v>71020121070032</v>
      </c>
      <c r="P352" s="206"/>
    </row>
    <row r="353" ht="14.25" spans="1:16">
      <c r="A353" s="200">
        <v>2691</v>
      </c>
      <c r="B353" s="201" t="s">
        <v>340</v>
      </c>
      <c r="C353" s="202">
        <v>44391.6429050926</v>
      </c>
      <c r="D353" s="202">
        <v>44391.6431944444</v>
      </c>
      <c r="E353" s="203" t="s">
        <v>348</v>
      </c>
      <c r="F353" s="204" t="s">
        <v>220</v>
      </c>
      <c r="G353" s="204">
        <v>3600</v>
      </c>
      <c r="H353" s="203" t="s">
        <v>222</v>
      </c>
      <c r="I353" s="204" t="s">
        <v>341</v>
      </c>
      <c r="J353" s="204" t="s">
        <v>342</v>
      </c>
      <c r="K353" s="204" t="s">
        <v>25</v>
      </c>
      <c r="L353" s="204" t="str">
        <f>VLOOKUP(K:K,供应商清单!$A:$B,2,0)</f>
        <v>珊瑚</v>
      </c>
      <c r="M353" s="204" t="s">
        <v>298</v>
      </c>
      <c r="N353" s="204">
        <v>10201160203183</v>
      </c>
      <c r="O353" s="204">
        <v>71020121070742</v>
      </c>
      <c r="P353" s="206"/>
    </row>
    <row r="354" ht="14.25" spans="1:16">
      <c r="A354" s="200">
        <v>2692</v>
      </c>
      <c r="B354" s="201" t="s">
        <v>340</v>
      </c>
      <c r="C354" s="202">
        <v>44391.6429050926</v>
      </c>
      <c r="D354" s="202">
        <v>44391.6432060185</v>
      </c>
      <c r="E354" s="203" t="s">
        <v>349</v>
      </c>
      <c r="F354" s="204" t="s">
        <v>220</v>
      </c>
      <c r="G354" s="204">
        <v>1200</v>
      </c>
      <c r="H354" s="203" t="s">
        <v>222</v>
      </c>
      <c r="I354" s="204" t="s">
        <v>341</v>
      </c>
      <c r="J354" s="204" t="s">
        <v>342</v>
      </c>
      <c r="K354" s="204" t="s">
        <v>25</v>
      </c>
      <c r="L354" s="204" t="str">
        <f>VLOOKUP(K:K,供应商清单!$A:$B,2,0)</f>
        <v>珊瑚</v>
      </c>
      <c r="M354" s="204" t="s">
        <v>298</v>
      </c>
      <c r="N354" s="204">
        <v>10201160203184</v>
      </c>
      <c r="O354" s="204">
        <v>71020121070742</v>
      </c>
      <c r="P354" s="206"/>
    </row>
    <row r="355" ht="14.25" spans="1:16">
      <c r="A355" s="200">
        <v>2844</v>
      </c>
      <c r="B355" s="201" t="s">
        <v>340</v>
      </c>
      <c r="C355" s="202">
        <v>44390.7923263889</v>
      </c>
      <c r="D355" s="202">
        <v>44390.7926273148</v>
      </c>
      <c r="E355" s="203" t="s">
        <v>343</v>
      </c>
      <c r="F355" s="204" t="s">
        <v>344</v>
      </c>
      <c r="G355" s="204">
        <v>381</v>
      </c>
      <c r="H355" s="203" t="s">
        <v>222</v>
      </c>
      <c r="I355" s="204" t="s">
        <v>341</v>
      </c>
      <c r="J355" s="204" t="s">
        <v>342</v>
      </c>
      <c r="K355" s="204" t="s">
        <v>40</v>
      </c>
      <c r="L355" s="204" t="str">
        <f>VLOOKUP(K:K,供应商清单!$A:$B,2,0)</f>
        <v>镒沣</v>
      </c>
      <c r="M355" s="204" t="s">
        <v>298</v>
      </c>
      <c r="N355" s="204">
        <v>10201160202787</v>
      </c>
      <c r="O355" s="204">
        <v>71020121051001</v>
      </c>
      <c r="P355" s="206"/>
    </row>
    <row r="356" ht="14.25" spans="1:16">
      <c r="A356" s="200">
        <v>2845</v>
      </c>
      <c r="B356" s="201" t="s">
        <v>340</v>
      </c>
      <c r="C356" s="202">
        <v>44390.7923263889</v>
      </c>
      <c r="D356" s="202">
        <v>44390.7926388889</v>
      </c>
      <c r="E356" s="203" t="s">
        <v>343</v>
      </c>
      <c r="F356" s="204" t="s">
        <v>344</v>
      </c>
      <c r="G356" s="204">
        <v>1005</v>
      </c>
      <c r="H356" s="203" t="s">
        <v>222</v>
      </c>
      <c r="I356" s="204" t="s">
        <v>341</v>
      </c>
      <c r="J356" s="204" t="s">
        <v>342</v>
      </c>
      <c r="K356" s="204" t="s">
        <v>40</v>
      </c>
      <c r="L356" s="204" t="str">
        <f>VLOOKUP(K:K,供应商清单!$A:$B,2,0)</f>
        <v>镒沣</v>
      </c>
      <c r="M356" s="204" t="s">
        <v>298</v>
      </c>
      <c r="N356" s="204">
        <v>10201160202787</v>
      </c>
      <c r="O356" s="204">
        <v>71020121030527</v>
      </c>
      <c r="P356" s="206"/>
    </row>
    <row r="357" ht="14.25" spans="1:16">
      <c r="A357" s="200">
        <v>2846</v>
      </c>
      <c r="B357" s="201" t="s">
        <v>340</v>
      </c>
      <c r="C357" s="202">
        <v>44390.7923263889</v>
      </c>
      <c r="D357" s="202">
        <v>44390.7926388889</v>
      </c>
      <c r="E357" s="203" t="s">
        <v>343</v>
      </c>
      <c r="F357" s="204" t="s">
        <v>344</v>
      </c>
      <c r="G357" s="204">
        <v>630</v>
      </c>
      <c r="H357" s="203" t="s">
        <v>222</v>
      </c>
      <c r="I357" s="204" t="s">
        <v>341</v>
      </c>
      <c r="J357" s="204" t="s">
        <v>342</v>
      </c>
      <c r="K357" s="204" t="s">
        <v>40</v>
      </c>
      <c r="L357" s="204" t="str">
        <f>VLOOKUP(K:K,供应商清单!$A:$B,2,0)</f>
        <v>镒沣</v>
      </c>
      <c r="M357" s="204" t="s">
        <v>298</v>
      </c>
      <c r="N357" s="204">
        <v>10201160202788</v>
      </c>
      <c r="O357" s="204">
        <v>71020121051001</v>
      </c>
      <c r="P357" s="206"/>
    </row>
    <row r="358" ht="14.25" spans="1:16">
      <c r="A358" s="200">
        <v>2847</v>
      </c>
      <c r="B358" s="201" t="s">
        <v>340</v>
      </c>
      <c r="C358" s="202">
        <v>44390.7923263889</v>
      </c>
      <c r="D358" s="202">
        <v>44390.7926388889</v>
      </c>
      <c r="E358" s="203" t="s">
        <v>169</v>
      </c>
      <c r="F358" s="204" t="s">
        <v>244</v>
      </c>
      <c r="G358" s="204">
        <v>1884</v>
      </c>
      <c r="H358" s="203" t="s">
        <v>222</v>
      </c>
      <c r="I358" s="204" t="s">
        <v>341</v>
      </c>
      <c r="J358" s="204" t="s">
        <v>342</v>
      </c>
      <c r="K358" s="204" t="s">
        <v>18</v>
      </c>
      <c r="L358" s="204" t="str">
        <f>VLOOKUP(K:K,供应商清单!$A:$B,2,0)</f>
        <v>中扬</v>
      </c>
      <c r="M358" s="204" t="s">
        <v>176</v>
      </c>
      <c r="N358" s="204">
        <v>10201160202669</v>
      </c>
      <c r="O358" s="204">
        <v>71020121050651</v>
      </c>
      <c r="P358" s="206"/>
    </row>
    <row r="359" ht="14.25" spans="1:16">
      <c r="A359" s="200">
        <v>2872</v>
      </c>
      <c r="B359" s="201" t="s">
        <v>340</v>
      </c>
      <c r="C359" s="202">
        <v>44390.8139699074</v>
      </c>
      <c r="D359" s="202">
        <v>44390.8141898148</v>
      </c>
      <c r="E359" s="203" t="s">
        <v>169</v>
      </c>
      <c r="F359" s="204" t="s">
        <v>244</v>
      </c>
      <c r="G359" s="204">
        <v>1885</v>
      </c>
      <c r="H359" s="203" t="s">
        <v>222</v>
      </c>
      <c r="I359" s="204" t="s">
        <v>341</v>
      </c>
      <c r="J359" s="204" t="s">
        <v>342</v>
      </c>
      <c r="K359" s="204" t="s">
        <v>18</v>
      </c>
      <c r="L359" s="204" t="str">
        <f>VLOOKUP(K:K,供应商清单!$A:$B,2,0)</f>
        <v>中扬</v>
      </c>
      <c r="M359" s="204" t="s">
        <v>176</v>
      </c>
      <c r="N359" s="204">
        <v>10201160202765</v>
      </c>
      <c r="O359" s="204">
        <v>71020121050651</v>
      </c>
      <c r="P359" s="206"/>
    </row>
    <row r="360" ht="14.25" spans="1:16">
      <c r="A360" s="200">
        <v>2873</v>
      </c>
      <c r="B360" s="201" t="s">
        <v>340</v>
      </c>
      <c r="C360" s="202">
        <v>44390.8139699074</v>
      </c>
      <c r="D360" s="202">
        <v>44390.8142013889</v>
      </c>
      <c r="E360" s="203" t="s">
        <v>169</v>
      </c>
      <c r="F360" s="204" t="s">
        <v>244</v>
      </c>
      <c r="G360" s="204">
        <v>2650</v>
      </c>
      <c r="H360" s="203" t="s">
        <v>222</v>
      </c>
      <c r="I360" s="204" t="s">
        <v>341</v>
      </c>
      <c r="J360" s="204" t="s">
        <v>342</v>
      </c>
      <c r="K360" s="204" t="s">
        <v>18</v>
      </c>
      <c r="L360" s="204" t="str">
        <f>VLOOKUP(K:K,供应商清单!$A:$B,2,0)</f>
        <v>中扬</v>
      </c>
      <c r="M360" s="204" t="s">
        <v>176</v>
      </c>
      <c r="N360" s="204">
        <v>10201160202765</v>
      </c>
      <c r="O360" s="204">
        <v>71020121050651</v>
      </c>
      <c r="P360" s="206"/>
    </row>
    <row r="361" ht="14.25" spans="1:16">
      <c r="A361" s="200">
        <v>2874</v>
      </c>
      <c r="B361" s="201" t="s">
        <v>340</v>
      </c>
      <c r="C361" s="202">
        <v>44390.8139699074</v>
      </c>
      <c r="D361" s="202">
        <v>44390.8142013889</v>
      </c>
      <c r="E361" s="203" t="s">
        <v>169</v>
      </c>
      <c r="F361" s="204" t="s">
        <v>244</v>
      </c>
      <c r="G361" s="204">
        <v>4000</v>
      </c>
      <c r="H361" s="203" t="s">
        <v>222</v>
      </c>
      <c r="I361" s="204" t="s">
        <v>341</v>
      </c>
      <c r="J361" s="204" t="s">
        <v>342</v>
      </c>
      <c r="K361" s="204" t="s">
        <v>18</v>
      </c>
      <c r="L361" s="204" t="str">
        <f>VLOOKUP(K:K,供应商清单!$A:$B,2,0)</f>
        <v>中扬</v>
      </c>
      <c r="M361" s="204" t="s">
        <v>176</v>
      </c>
      <c r="N361" s="204">
        <v>10201160202929</v>
      </c>
      <c r="O361" s="204">
        <v>71020121050651</v>
      </c>
      <c r="P361" s="206"/>
    </row>
    <row r="362" ht="14.25" spans="1:16">
      <c r="A362" s="200">
        <v>2875</v>
      </c>
      <c r="B362" s="201" t="s">
        <v>340</v>
      </c>
      <c r="C362" s="202">
        <v>44390.8139699074</v>
      </c>
      <c r="D362" s="202">
        <v>44390.8142013889</v>
      </c>
      <c r="E362" s="203" t="s">
        <v>169</v>
      </c>
      <c r="F362" s="204" t="s">
        <v>244</v>
      </c>
      <c r="G362" s="204">
        <v>3040</v>
      </c>
      <c r="H362" s="203" t="s">
        <v>222</v>
      </c>
      <c r="I362" s="204" t="s">
        <v>341</v>
      </c>
      <c r="J362" s="204" t="s">
        <v>342</v>
      </c>
      <c r="K362" s="204" t="s">
        <v>18</v>
      </c>
      <c r="L362" s="204" t="str">
        <f>VLOOKUP(K:K,供应商清单!$A:$B,2,0)</f>
        <v>中扬</v>
      </c>
      <c r="M362" s="204" t="s">
        <v>176</v>
      </c>
      <c r="N362" s="204">
        <v>10201160202929</v>
      </c>
      <c r="O362" s="204">
        <v>71020121050651</v>
      </c>
      <c r="P362" s="206"/>
    </row>
    <row r="363" ht="14.25" spans="1:16">
      <c r="A363" s="200">
        <v>2876</v>
      </c>
      <c r="B363" s="201" t="s">
        <v>340</v>
      </c>
      <c r="C363" s="202">
        <v>44390.8139699074</v>
      </c>
      <c r="D363" s="202">
        <v>44390.8142013889</v>
      </c>
      <c r="E363" s="203" t="s">
        <v>169</v>
      </c>
      <c r="F363" s="204" t="s">
        <v>244</v>
      </c>
      <c r="G363" s="204">
        <v>1350</v>
      </c>
      <c r="H363" s="203" t="s">
        <v>222</v>
      </c>
      <c r="I363" s="204" t="s">
        <v>341</v>
      </c>
      <c r="J363" s="204" t="s">
        <v>342</v>
      </c>
      <c r="K363" s="204" t="s">
        <v>18</v>
      </c>
      <c r="L363" s="204" t="str">
        <f>VLOOKUP(K:K,供应商清单!$A:$B,2,0)</f>
        <v>中扬</v>
      </c>
      <c r="M363" s="204" t="s">
        <v>176</v>
      </c>
      <c r="N363" s="204">
        <v>10201160202929</v>
      </c>
      <c r="O363" s="204">
        <v>71020121050651</v>
      </c>
      <c r="P363" s="206"/>
    </row>
    <row r="364" ht="14.25" spans="1:16">
      <c r="A364" s="200">
        <v>2877</v>
      </c>
      <c r="B364" s="201" t="s">
        <v>340</v>
      </c>
      <c r="C364" s="202">
        <v>44390.8139699074</v>
      </c>
      <c r="D364" s="202">
        <v>44390.8142013889</v>
      </c>
      <c r="E364" s="203" t="s">
        <v>101</v>
      </c>
      <c r="F364" s="204" t="s">
        <v>220</v>
      </c>
      <c r="G364" s="204">
        <v>703</v>
      </c>
      <c r="H364" s="203" t="s">
        <v>222</v>
      </c>
      <c r="I364" s="204" t="s">
        <v>341</v>
      </c>
      <c r="J364" s="204" t="s">
        <v>342</v>
      </c>
      <c r="K364" s="204" t="s">
        <v>18</v>
      </c>
      <c r="L364" s="204" t="str">
        <f>VLOOKUP(K:K,供应商清单!$A:$B,2,0)</f>
        <v>中扬</v>
      </c>
      <c r="M364" s="204" t="s">
        <v>176</v>
      </c>
      <c r="N364" s="204">
        <v>10201160202668</v>
      </c>
      <c r="O364" s="204">
        <v>71020121060992</v>
      </c>
      <c r="P364" s="206"/>
    </row>
    <row r="365" ht="14.25" spans="1:16">
      <c r="A365" s="200">
        <v>2878</v>
      </c>
      <c r="B365" s="201" t="s">
        <v>340</v>
      </c>
      <c r="C365" s="202">
        <v>44390.8139699074</v>
      </c>
      <c r="D365" s="202">
        <v>44390.8142013889</v>
      </c>
      <c r="E365" s="203" t="s">
        <v>165</v>
      </c>
      <c r="F365" s="204" t="s">
        <v>246</v>
      </c>
      <c r="G365" s="204">
        <v>402</v>
      </c>
      <c r="H365" s="203" t="s">
        <v>222</v>
      </c>
      <c r="I365" s="204" t="s">
        <v>341</v>
      </c>
      <c r="J365" s="204" t="s">
        <v>342</v>
      </c>
      <c r="K365" s="204" t="s">
        <v>18</v>
      </c>
      <c r="L365" s="204" t="str">
        <f>VLOOKUP(K:K,供应商清单!$A:$B,2,0)</f>
        <v>中扬</v>
      </c>
      <c r="M365" s="204" t="s">
        <v>176</v>
      </c>
      <c r="N365" s="204">
        <v>10201160202770</v>
      </c>
      <c r="O365" s="204">
        <v>71020121051437</v>
      </c>
      <c r="P365" s="206"/>
    </row>
    <row r="366" ht="14.25" spans="1:16">
      <c r="A366" s="200">
        <v>2879</v>
      </c>
      <c r="B366" s="201" t="s">
        <v>340</v>
      </c>
      <c r="C366" s="202">
        <v>44390.8141203704</v>
      </c>
      <c r="D366" s="202">
        <v>44390.8142013889</v>
      </c>
      <c r="E366" s="203" t="s">
        <v>165</v>
      </c>
      <c r="F366" s="204" t="s">
        <v>246</v>
      </c>
      <c r="G366" s="204">
        <v>1202</v>
      </c>
      <c r="H366" s="203" t="s">
        <v>222</v>
      </c>
      <c r="I366" s="204" t="s">
        <v>341</v>
      </c>
      <c r="J366" s="204" t="s">
        <v>342</v>
      </c>
      <c r="K366" s="204" t="s">
        <v>18</v>
      </c>
      <c r="L366" s="204" t="str">
        <f>VLOOKUP(K:K,供应商清单!$A:$B,2,0)</f>
        <v>中扬</v>
      </c>
      <c r="M366" s="204" t="s">
        <v>176</v>
      </c>
      <c r="N366" s="204">
        <v>10201160202770</v>
      </c>
      <c r="O366" s="204">
        <v>71020121032236</v>
      </c>
      <c r="P366" s="206"/>
    </row>
    <row r="367" ht="14.25" spans="1:16">
      <c r="A367" s="200">
        <v>3008</v>
      </c>
      <c r="B367" s="201" t="s">
        <v>340</v>
      </c>
      <c r="C367" s="202">
        <v>44384.6970601852</v>
      </c>
      <c r="D367" s="202">
        <v>44384.6997569444</v>
      </c>
      <c r="E367" s="203" t="s">
        <v>153</v>
      </c>
      <c r="F367" s="204" t="s">
        <v>220</v>
      </c>
      <c r="G367" s="204">
        <v>2700</v>
      </c>
      <c r="H367" s="203" t="s">
        <v>222</v>
      </c>
      <c r="I367" s="204" t="s">
        <v>341</v>
      </c>
      <c r="J367" s="204" t="s">
        <v>342</v>
      </c>
      <c r="K367" s="204" t="s">
        <v>25</v>
      </c>
      <c r="L367" s="204" t="str">
        <f>VLOOKUP(K:K,供应商清单!$A:$B,2,0)</f>
        <v>珊瑚</v>
      </c>
      <c r="M367" s="204" t="s">
        <v>176</v>
      </c>
      <c r="N367" s="204">
        <v>10201160202018</v>
      </c>
      <c r="O367" s="204">
        <v>71020121060138</v>
      </c>
      <c r="P367" s="206"/>
    </row>
    <row r="368" ht="14.25" spans="1:16">
      <c r="A368" s="200">
        <v>3185</v>
      </c>
      <c r="B368" s="201" t="s">
        <v>340</v>
      </c>
      <c r="C368" s="202">
        <v>44380.5960069444</v>
      </c>
      <c r="D368" s="202">
        <v>44380.5962152778</v>
      </c>
      <c r="E368" s="203" t="s">
        <v>350</v>
      </c>
      <c r="F368" s="204" t="s">
        <v>351</v>
      </c>
      <c r="G368" s="204">
        <v>200</v>
      </c>
      <c r="H368" s="203" t="s">
        <v>352</v>
      </c>
      <c r="I368" s="204" t="s">
        <v>353</v>
      </c>
      <c r="J368" s="204" t="s">
        <v>342</v>
      </c>
      <c r="K368" s="204" t="s">
        <v>51</v>
      </c>
      <c r="L368" s="204" t="str">
        <f>VLOOKUP(K:K,供应商清单!$A:$B,2,0)</f>
        <v>顶尖</v>
      </c>
      <c r="M368" s="204" t="s">
        <v>298</v>
      </c>
      <c r="N368" s="204">
        <v>10201160201388</v>
      </c>
      <c r="O368" s="204">
        <v>71020121011269</v>
      </c>
      <c r="P368" s="207">
        <v>44379</v>
      </c>
    </row>
    <row r="369" ht="14.25" spans="1:16">
      <c r="A369" s="200">
        <v>3207</v>
      </c>
      <c r="B369" s="201" t="s">
        <v>340</v>
      </c>
      <c r="C369" s="202">
        <v>44384.7029861111</v>
      </c>
      <c r="D369" s="202">
        <v>44384.7040740741</v>
      </c>
      <c r="E369" s="203" t="s">
        <v>124</v>
      </c>
      <c r="F369" s="204" t="s">
        <v>228</v>
      </c>
      <c r="G369" s="204">
        <v>5600</v>
      </c>
      <c r="H369" s="203" t="s">
        <v>222</v>
      </c>
      <c r="I369" s="204" t="s">
        <v>341</v>
      </c>
      <c r="J369" s="204" t="s">
        <v>342</v>
      </c>
      <c r="K369" s="204" t="s">
        <v>36</v>
      </c>
      <c r="L369" s="204" t="str">
        <f>VLOOKUP(K:K,供应商清单!$A:$B,2,0)</f>
        <v>东航</v>
      </c>
      <c r="M369" s="204" t="s">
        <v>176</v>
      </c>
      <c r="N369" s="204">
        <v>10201160201848</v>
      </c>
      <c r="O369" s="204">
        <v>71020121051195</v>
      </c>
      <c r="P369" s="206"/>
    </row>
    <row r="370" ht="14.25" spans="1:16">
      <c r="A370" s="200">
        <v>3208</v>
      </c>
      <c r="B370" s="201" t="s">
        <v>340</v>
      </c>
      <c r="C370" s="202">
        <v>44384.7029861111</v>
      </c>
      <c r="D370" s="202">
        <v>44384.7040856481</v>
      </c>
      <c r="E370" s="203" t="s">
        <v>354</v>
      </c>
      <c r="F370" s="204" t="s">
        <v>229</v>
      </c>
      <c r="G370" s="204">
        <v>1076</v>
      </c>
      <c r="H370" s="203" t="s">
        <v>222</v>
      </c>
      <c r="I370" s="204" t="s">
        <v>341</v>
      </c>
      <c r="J370" s="204" t="s">
        <v>342</v>
      </c>
      <c r="K370" s="204" t="s">
        <v>36</v>
      </c>
      <c r="L370" s="204" t="str">
        <f>VLOOKUP(K:K,供应商清单!$A:$B,2,0)</f>
        <v>东航</v>
      </c>
      <c r="M370" s="204" t="s">
        <v>176</v>
      </c>
      <c r="N370" s="204">
        <v>10201160201849</v>
      </c>
      <c r="O370" s="204">
        <v>71020121061040</v>
      </c>
      <c r="P370" s="206"/>
    </row>
    <row r="371" ht="14.25" spans="1:16">
      <c r="A371" s="200">
        <v>3209</v>
      </c>
      <c r="B371" s="201" t="s">
        <v>340</v>
      </c>
      <c r="C371" s="202">
        <v>44384.7034143519</v>
      </c>
      <c r="D371" s="202">
        <v>44384.7040856481</v>
      </c>
      <c r="E371" s="203" t="s">
        <v>355</v>
      </c>
      <c r="F371" s="204" t="s">
        <v>220</v>
      </c>
      <c r="G371" s="204">
        <v>3000</v>
      </c>
      <c r="H371" s="203" t="s">
        <v>222</v>
      </c>
      <c r="I371" s="204" t="s">
        <v>341</v>
      </c>
      <c r="J371" s="204" t="s">
        <v>342</v>
      </c>
      <c r="K371" s="204" t="s">
        <v>36</v>
      </c>
      <c r="L371" s="204" t="str">
        <f>VLOOKUP(K:K,供应商清单!$A:$B,2,0)</f>
        <v>东航</v>
      </c>
      <c r="M371" s="204" t="s">
        <v>176</v>
      </c>
      <c r="N371" s="204">
        <v>10201160201850</v>
      </c>
      <c r="O371" s="204">
        <v>71020121060304</v>
      </c>
      <c r="P371" s="206"/>
    </row>
    <row r="372" ht="14.25" spans="1:16">
      <c r="A372" s="200">
        <v>3210</v>
      </c>
      <c r="B372" s="201" t="s">
        <v>340</v>
      </c>
      <c r="C372" s="202">
        <v>44384.7034143519</v>
      </c>
      <c r="D372" s="202">
        <v>44384.7040856481</v>
      </c>
      <c r="E372" s="203" t="s">
        <v>139</v>
      </c>
      <c r="F372" s="204" t="s">
        <v>220</v>
      </c>
      <c r="G372" s="204">
        <v>500</v>
      </c>
      <c r="H372" s="203" t="s">
        <v>222</v>
      </c>
      <c r="I372" s="204" t="s">
        <v>341</v>
      </c>
      <c r="J372" s="204" t="s">
        <v>342</v>
      </c>
      <c r="K372" s="204" t="s">
        <v>36</v>
      </c>
      <c r="L372" s="204" t="str">
        <f>VLOOKUP(K:K,供应商清单!$A:$B,2,0)</f>
        <v>东航</v>
      </c>
      <c r="M372" s="204" t="s">
        <v>176</v>
      </c>
      <c r="N372" s="204">
        <v>10201160201851</v>
      </c>
      <c r="O372" s="204">
        <v>71020121051443</v>
      </c>
      <c r="P372" s="206"/>
    </row>
    <row r="373" ht="14.25" spans="1:16">
      <c r="A373" s="200">
        <v>3211</v>
      </c>
      <c r="B373" s="201" t="s">
        <v>340</v>
      </c>
      <c r="C373" s="202">
        <v>44384.7034143519</v>
      </c>
      <c r="D373" s="202">
        <v>44384.7040856481</v>
      </c>
      <c r="E373" s="203" t="s">
        <v>139</v>
      </c>
      <c r="F373" s="204" t="s">
        <v>220</v>
      </c>
      <c r="G373" s="204">
        <v>600</v>
      </c>
      <c r="H373" s="203" t="s">
        <v>222</v>
      </c>
      <c r="I373" s="204" t="s">
        <v>341</v>
      </c>
      <c r="J373" s="204" t="s">
        <v>342</v>
      </c>
      <c r="K373" s="204" t="s">
        <v>36</v>
      </c>
      <c r="L373" s="204" t="str">
        <f>VLOOKUP(K:K,供应商清单!$A:$B,2,0)</f>
        <v>东航</v>
      </c>
      <c r="M373" s="204" t="s">
        <v>176</v>
      </c>
      <c r="N373" s="204">
        <v>10201160201851</v>
      </c>
      <c r="O373" s="204">
        <v>71020121051195</v>
      </c>
      <c r="P373" s="206"/>
    </row>
    <row r="374" ht="14.25" spans="1:16">
      <c r="A374" s="200">
        <v>3212</v>
      </c>
      <c r="B374" s="201" t="s">
        <v>340</v>
      </c>
      <c r="C374" s="202">
        <v>44384.7035069444</v>
      </c>
      <c r="D374" s="202">
        <v>44384.7040856481</v>
      </c>
      <c r="E374" s="203" t="s">
        <v>135</v>
      </c>
      <c r="F374" s="204" t="s">
        <v>220</v>
      </c>
      <c r="G374" s="204">
        <v>3200</v>
      </c>
      <c r="H374" s="203" t="s">
        <v>222</v>
      </c>
      <c r="I374" s="204" t="s">
        <v>341</v>
      </c>
      <c r="J374" s="204" t="s">
        <v>342</v>
      </c>
      <c r="K374" s="204" t="s">
        <v>36</v>
      </c>
      <c r="L374" s="204" t="str">
        <f>VLOOKUP(K:K,供应商清单!$A:$B,2,0)</f>
        <v>东航</v>
      </c>
      <c r="M374" s="204" t="s">
        <v>176</v>
      </c>
      <c r="N374" s="204">
        <v>10201160201855</v>
      </c>
      <c r="O374" s="204">
        <v>71020121051195</v>
      </c>
      <c r="P374" s="206"/>
    </row>
    <row r="375" ht="14.25" spans="1:16">
      <c r="A375" s="200">
        <v>3213</v>
      </c>
      <c r="B375" s="201" t="s">
        <v>340</v>
      </c>
      <c r="C375" s="202">
        <v>44384.7035069444</v>
      </c>
      <c r="D375" s="202">
        <v>44384.7040856481</v>
      </c>
      <c r="E375" s="203" t="s">
        <v>343</v>
      </c>
      <c r="F375" s="204" t="s">
        <v>344</v>
      </c>
      <c r="G375" s="204">
        <v>2045</v>
      </c>
      <c r="H375" s="203" t="s">
        <v>222</v>
      </c>
      <c r="I375" s="204" t="s">
        <v>341</v>
      </c>
      <c r="J375" s="204" t="s">
        <v>342</v>
      </c>
      <c r="K375" s="204" t="s">
        <v>40</v>
      </c>
      <c r="L375" s="204" t="str">
        <f>VLOOKUP(K:K,供应商清单!$A:$B,2,0)</f>
        <v>镒沣</v>
      </c>
      <c r="M375" s="204" t="s">
        <v>298</v>
      </c>
      <c r="N375" s="204">
        <v>10201160201877</v>
      </c>
      <c r="O375" s="204">
        <v>71020121030527</v>
      </c>
      <c r="P375" s="206"/>
    </row>
    <row r="376" ht="14.25" spans="1:16">
      <c r="A376" s="200">
        <v>3214</v>
      </c>
      <c r="B376" s="201" t="s">
        <v>340</v>
      </c>
      <c r="C376" s="202">
        <v>44384.703599537</v>
      </c>
      <c r="D376" s="202">
        <v>44384.7040856481</v>
      </c>
      <c r="E376" s="203" t="s">
        <v>343</v>
      </c>
      <c r="F376" s="204" t="s">
        <v>344</v>
      </c>
      <c r="G376" s="204">
        <v>2995</v>
      </c>
      <c r="H376" s="203" t="s">
        <v>222</v>
      </c>
      <c r="I376" s="204" t="s">
        <v>341</v>
      </c>
      <c r="J376" s="204" t="s">
        <v>342</v>
      </c>
      <c r="K376" s="204" t="s">
        <v>40</v>
      </c>
      <c r="L376" s="204" t="str">
        <f>VLOOKUP(K:K,供应商清单!$A:$B,2,0)</f>
        <v>镒沣</v>
      </c>
      <c r="M376" s="204" t="s">
        <v>298</v>
      </c>
      <c r="N376" s="204">
        <v>10201160201877</v>
      </c>
      <c r="O376" s="204">
        <v>71020121030527</v>
      </c>
      <c r="P376" s="206"/>
    </row>
    <row r="377" ht="14.25" spans="1:16">
      <c r="A377" s="200">
        <v>3218</v>
      </c>
      <c r="B377" s="201" t="s">
        <v>340</v>
      </c>
      <c r="C377" s="202">
        <v>44384.6999421296</v>
      </c>
      <c r="D377" s="202">
        <v>44384.7005671296</v>
      </c>
      <c r="E377" s="203" t="s">
        <v>144</v>
      </c>
      <c r="F377" s="204" t="s">
        <v>259</v>
      </c>
      <c r="G377" s="204">
        <v>3200</v>
      </c>
      <c r="H377" s="203" t="s">
        <v>222</v>
      </c>
      <c r="I377" s="204" t="s">
        <v>341</v>
      </c>
      <c r="J377" s="204" t="s">
        <v>342</v>
      </c>
      <c r="K377" s="204" t="s">
        <v>25</v>
      </c>
      <c r="L377" s="204" t="str">
        <f>VLOOKUP(K:K,供应商清单!$A:$B,2,0)</f>
        <v>珊瑚</v>
      </c>
      <c r="M377" s="204" t="s">
        <v>176</v>
      </c>
      <c r="N377" s="204">
        <v>10201160202016</v>
      </c>
      <c r="O377" s="204">
        <v>71020121051438</v>
      </c>
      <c r="P377" s="206"/>
    </row>
    <row r="378" ht="14.25" spans="1:16">
      <c r="A378" s="200">
        <v>3345</v>
      </c>
      <c r="B378" s="201" t="s">
        <v>340</v>
      </c>
      <c r="C378" s="202">
        <v>44390.7206134259</v>
      </c>
      <c r="D378" s="202">
        <v>44390.7207638889</v>
      </c>
      <c r="E378" s="203" t="s">
        <v>108</v>
      </c>
      <c r="F378" s="204" t="s">
        <v>220</v>
      </c>
      <c r="G378" s="204">
        <v>2520</v>
      </c>
      <c r="H378" s="203" t="s">
        <v>222</v>
      </c>
      <c r="I378" s="204" t="s">
        <v>341</v>
      </c>
      <c r="J378" s="204" t="s">
        <v>342</v>
      </c>
      <c r="K378" s="204" t="s">
        <v>34</v>
      </c>
      <c r="L378" s="204" t="str">
        <f>VLOOKUP(K:K,供应商清单!$A:$B,2,0)</f>
        <v>大长今</v>
      </c>
      <c r="M378" s="204" t="s">
        <v>176</v>
      </c>
      <c r="N378" s="204">
        <v>10201160202670</v>
      </c>
      <c r="O378" s="204">
        <v>71020121050870</v>
      </c>
      <c r="P378" s="206"/>
    </row>
    <row r="379" ht="14.25" spans="1:16">
      <c r="A379" s="200">
        <v>3346</v>
      </c>
      <c r="B379" s="201" t="s">
        <v>340</v>
      </c>
      <c r="C379" s="202">
        <v>44390.7261689815</v>
      </c>
      <c r="D379" s="202">
        <v>44390.7263888889</v>
      </c>
      <c r="E379" s="203" t="s">
        <v>129</v>
      </c>
      <c r="F379" s="204" t="s">
        <v>229</v>
      </c>
      <c r="G379" s="204">
        <v>4400</v>
      </c>
      <c r="H379" s="203" t="s">
        <v>222</v>
      </c>
      <c r="I379" s="204" t="s">
        <v>341</v>
      </c>
      <c r="J379" s="204" t="s">
        <v>342</v>
      </c>
      <c r="K379" s="204" t="s">
        <v>36</v>
      </c>
      <c r="L379" s="204" t="str">
        <f>VLOOKUP(K:K,供应商清单!$A:$B,2,0)</f>
        <v>东航</v>
      </c>
      <c r="M379" s="204" t="s">
        <v>176</v>
      </c>
      <c r="N379" s="204">
        <v>10201160202839</v>
      </c>
      <c r="O379" s="204">
        <v>71020121060810</v>
      </c>
      <c r="P379" s="206"/>
    </row>
    <row r="380" ht="14.25" spans="1:16">
      <c r="A380" s="200">
        <v>3347</v>
      </c>
      <c r="B380" s="201" t="s">
        <v>340</v>
      </c>
      <c r="C380" s="202">
        <v>44390.7261689815</v>
      </c>
      <c r="D380" s="202">
        <v>44390.7263888889</v>
      </c>
      <c r="E380" s="203" t="s">
        <v>129</v>
      </c>
      <c r="F380" s="204" t="s">
        <v>229</v>
      </c>
      <c r="G380" s="204">
        <v>4400</v>
      </c>
      <c r="H380" s="203" t="s">
        <v>222</v>
      </c>
      <c r="I380" s="204" t="s">
        <v>341</v>
      </c>
      <c r="J380" s="204" t="s">
        <v>342</v>
      </c>
      <c r="K380" s="204" t="s">
        <v>36</v>
      </c>
      <c r="L380" s="204" t="str">
        <f>VLOOKUP(K:K,供应商清单!$A:$B,2,0)</f>
        <v>东航</v>
      </c>
      <c r="M380" s="204" t="s">
        <v>176</v>
      </c>
      <c r="N380" s="204">
        <v>10201160202839</v>
      </c>
      <c r="O380" s="204">
        <v>71020121060810</v>
      </c>
      <c r="P380" s="206"/>
    </row>
    <row r="381" ht="14.25" spans="1:16">
      <c r="A381" s="200">
        <v>3348</v>
      </c>
      <c r="B381" s="201" t="s">
        <v>340</v>
      </c>
      <c r="C381" s="202">
        <v>44390.7261689815</v>
      </c>
      <c r="D381" s="202">
        <v>44390.7263888889</v>
      </c>
      <c r="E381" s="203" t="s">
        <v>129</v>
      </c>
      <c r="F381" s="204" t="s">
        <v>229</v>
      </c>
      <c r="G381" s="204">
        <v>2700</v>
      </c>
      <c r="H381" s="203" t="s">
        <v>222</v>
      </c>
      <c r="I381" s="204" t="s">
        <v>341</v>
      </c>
      <c r="J381" s="204" t="s">
        <v>342</v>
      </c>
      <c r="K381" s="204" t="s">
        <v>36</v>
      </c>
      <c r="L381" s="204" t="str">
        <f>VLOOKUP(K:K,供应商清单!$A:$B,2,0)</f>
        <v>东航</v>
      </c>
      <c r="M381" s="204" t="s">
        <v>176</v>
      </c>
      <c r="N381" s="204">
        <v>10201160202840</v>
      </c>
      <c r="O381" s="204">
        <v>71020121060810</v>
      </c>
      <c r="P381" s="206"/>
    </row>
    <row r="382" ht="14.25" spans="1:16">
      <c r="A382" s="200">
        <v>3349</v>
      </c>
      <c r="B382" s="201" t="s">
        <v>340</v>
      </c>
      <c r="C382" s="202">
        <v>44390.7261689815</v>
      </c>
      <c r="D382" s="202">
        <v>44390.726400463</v>
      </c>
      <c r="E382" s="203" t="s">
        <v>129</v>
      </c>
      <c r="F382" s="204" t="s">
        <v>229</v>
      </c>
      <c r="G382" s="204">
        <v>5000</v>
      </c>
      <c r="H382" s="203" t="s">
        <v>222</v>
      </c>
      <c r="I382" s="204" t="s">
        <v>341</v>
      </c>
      <c r="J382" s="204" t="s">
        <v>342</v>
      </c>
      <c r="K382" s="204" t="s">
        <v>36</v>
      </c>
      <c r="L382" s="204" t="str">
        <f>VLOOKUP(K:K,供应商清单!$A:$B,2,0)</f>
        <v>东航</v>
      </c>
      <c r="M382" s="204" t="s">
        <v>176</v>
      </c>
      <c r="N382" s="204">
        <v>10201160202840</v>
      </c>
      <c r="O382" s="204">
        <v>71020121051195</v>
      </c>
      <c r="P382" s="206"/>
    </row>
    <row r="383" ht="14.25" spans="1:16">
      <c r="A383" s="200">
        <v>3350</v>
      </c>
      <c r="B383" s="201" t="s">
        <v>340</v>
      </c>
      <c r="C383" s="202">
        <v>44390.7261689815</v>
      </c>
      <c r="D383" s="202">
        <v>44390.726400463</v>
      </c>
      <c r="E383" s="203" t="s">
        <v>129</v>
      </c>
      <c r="F383" s="204" t="s">
        <v>229</v>
      </c>
      <c r="G383" s="204">
        <v>5100</v>
      </c>
      <c r="H383" s="203" t="s">
        <v>222</v>
      </c>
      <c r="I383" s="204" t="s">
        <v>341</v>
      </c>
      <c r="J383" s="204" t="s">
        <v>342</v>
      </c>
      <c r="K383" s="204" t="s">
        <v>36</v>
      </c>
      <c r="L383" s="204" t="str">
        <f>VLOOKUP(K:K,供应商清单!$A:$B,2,0)</f>
        <v>东航</v>
      </c>
      <c r="M383" s="204" t="s">
        <v>176</v>
      </c>
      <c r="N383" s="204">
        <v>10201160202840</v>
      </c>
      <c r="O383" s="204">
        <v>71020121051195</v>
      </c>
      <c r="P383" s="206"/>
    </row>
    <row r="384" ht="14.25" spans="1:16">
      <c r="A384" s="200">
        <v>3351</v>
      </c>
      <c r="B384" s="201" t="s">
        <v>340</v>
      </c>
      <c r="C384" s="202">
        <v>44390.7261689815</v>
      </c>
      <c r="D384" s="202">
        <v>44390.726400463</v>
      </c>
      <c r="E384" s="203" t="s">
        <v>136</v>
      </c>
      <c r="F384" s="204" t="s">
        <v>220</v>
      </c>
      <c r="G384" s="204">
        <v>4000</v>
      </c>
      <c r="H384" s="203" t="s">
        <v>222</v>
      </c>
      <c r="I384" s="204" t="s">
        <v>341</v>
      </c>
      <c r="J384" s="204" t="s">
        <v>342</v>
      </c>
      <c r="K384" s="204" t="s">
        <v>36</v>
      </c>
      <c r="L384" s="204" t="str">
        <f>VLOOKUP(K:K,供应商清单!$A:$B,2,0)</f>
        <v>东航</v>
      </c>
      <c r="M384" s="204" t="s">
        <v>176</v>
      </c>
      <c r="N384" s="204">
        <v>10201160202841</v>
      </c>
      <c r="O384" s="204">
        <v>71020121060810</v>
      </c>
      <c r="P384" s="206"/>
    </row>
    <row r="385" ht="14.25" spans="1:16">
      <c r="A385" s="200">
        <v>3352</v>
      </c>
      <c r="B385" s="201" t="s">
        <v>340</v>
      </c>
      <c r="C385" s="202">
        <v>44390.7261689815</v>
      </c>
      <c r="D385" s="202">
        <v>44390.726400463</v>
      </c>
      <c r="E385" s="203" t="s">
        <v>136</v>
      </c>
      <c r="F385" s="204" t="s">
        <v>220</v>
      </c>
      <c r="G385" s="204">
        <v>4000</v>
      </c>
      <c r="H385" s="203" t="s">
        <v>222</v>
      </c>
      <c r="I385" s="204" t="s">
        <v>341</v>
      </c>
      <c r="J385" s="204" t="s">
        <v>342</v>
      </c>
      <c r="K385" s="204" t="s">
        <v>36</v>
      </c>
      <c r="L385" s="204" t="str">
        <f>VLOOKUP(K:K,供应商清单!$A:$B,2,0)</f>
        <v>东航</v>
      </c>
      <c r="M385" s="204" t="s">
        <v>176</v>
      </c>
      <c r="N385" s="204">
        <v>10201160202841</v>
      </c>
      <c r="O385" s="204">
        <v>71020121060810</v>
      </c>
      <c r="P385" s="206"/>
    </row>
    <row r="386" ht="14.25" spans="1:16">
      <c r="A386" s="200">
        <v>3355</v>
      </c>
      <c r="B386" s="201" t="s">
        <v>340</v>
      </c>
      <c r="C386" s="202">
        <v>44390.7158333333</v>
      </c>
      <c r="D386" s="202">
        <v>44390.7174189815</v>
      </c>
      <c r="E386" s="203" t="s">
        <v>312</v>
      </c>
      <c r="F386" s="204" t="s">
        <v>313</v>
      </c>
      <c r="G386" s="204">
        <v>300</v>
      </c>
      <c r="H386" s="203" t="s">
        <v>222</v>
      </c>
      <c r="I386" s="204" t="s">
        <v>341</v>
      </c>
      <c r="J386" s="204" t="s">
        <v>342</v>
      </c>
      <c r="K386" s="204" t="s">
        <v>40</v>
      </c>
      <c r="L386" s="204" t="str">
        <f>VLOOKUP(K:K,供应商清单!$A:$B,2,0)</f>
        <v>镒沣</v>
      </c>
      <c r="M386" s="204" t="s">
        <v>298</v>
      </c>
      <c r="N386" s="204">
        <v>10201160202785</v>
      </c>
      <c r="O386" s="204">
        <v>71020121060295</v>
      </c>
      <c r="P386" s="206"/>
    </row>
    <row r="387" ht="14.25" spans="1:16">
      <c r="A387" s="200">
        <v>3356</v>
      </c>
      <c r="B387" s="201" t="s">
        <v>340</v>
      </c>
      <c r="C387" s="202">
        <v>44390.7158333333</v>
      </c>
      <c r="D387" s="202">
        <v>44390.7174189815</v>
      </c>
      <c r="E387" s="203" t="s">
        <v>312</v>
      </c>
      <c r="F387" s="204" t="s">
        <v>313</v>
      </c>
      <c r="G387" s="204">
        <v>200</v>
      </c>
      <c r="H387" s="203" t="s">
        <v>222</v>
      </c>
      <c r="I387" s="204" t="s">
        <v>341</v>
      </c>
      <c r="J387" s="204" t="s">
        <v>342</v>
      </c>
      <c r="K387" s="204" t="s">
        <v>40</v>
      </c>
      <c r="L387" s="204" t="str">
        <f>VLOOKUP(K:K,供应商清单!$A:$B,2,0)</f>
        <v>镒沣</v>
      </c>
      <c r="M387" s="204" t="s">
        <v>298</v>
      </c>
      <c r="N387" s="204">
        <v>10201160202785</v>
      </c>
      <c r="O387" s="204">
        <v>71020121051181</v>
      </c>
      <c r="P387" s="206"/>
    </row>
    <row r="388" ht="14.25" spans="1:16">
      <c r="A388" s="200">
        <v>3357</v>
      </c>
      <c r="B388" s="201" t="s">
        <v>340</v>
      </c>
      <c r="C388" s="202">
        <v>44390.7158333333</v>
      </c>
      <c r="D388" s="202">
        <v>44390.7174189815</v>
      </c>
      <c r="E388" s="203" t="s">
        <v>312</v>
      </c>
      <c r="F388" s="204" t="s">
        <v>313</v>
      </c>
      <c r="G388" s="204">
        <v>200</v>
      </c>
      <c r="H388" s="203" t="s">
        <v>222</v>
      </c>
      <c r="I388" s="204" t="s">
        <v>341</v>
      </c>
      <c r="J388" s="204" t="s">
        <v>342</v>
      </c>
      <c r="K388" s="204" t="s">
        <v>40</v>
      </c>
      <c r="L388" s="204" t="str">
        <f>VLOOKUP(K:K,供应商清单!$A:$B,2,0)</f>
        <v>镒沣</v>
      </c>
      <c r="M388" s="204" t="s">
        <v>298</v>
      </c>
      <c r="N388" s="204">
        <v>10201160202785</v>
      </c>
      <c r="O388" s="204">
        <v>71020121050648</v>
      </c>
      <c r="P388" s="206"/>
    </row>
    <row r="389" ht="14.25" spans="1:16">
      <c r="A389" s="200">
        <v>3358</v>
      </c>
      <c r="B389" s="201" t="s">
        <v>340</v>
      </c>
      <c r="C389" s="202">
        <v>44390.7165625</v>
      </c>
      <c r="D389" s="202">
        <v>44390.7174189815</v>
      </c>
      <c r="E389" s="203" t="s">
        <v>312</v>
      </c>
      <c r="F389" s="204" t="s">
        <v>313</v>
      </c>
      <c r="G389" s="204">
        <v>700</v>
      </c>
      <c r="H389" s="203" t="s">
        <v>222</v>
      </c>
      <c r="I389" s="204" t="s">
        <v>341</v>
      </c>
      <c r="J389" s="204" t="s">
        <v>342</v>
      </c>
      <c r="K389" s="204" t="s">
        <v>40</v>
      </c>
      <c r="L389" s="204" t="str">
        <f>VLOOKUP(K:K,供应商清单!$A:$B,2,0)</f>
        <v>镒沣</v>
      </c>
      <c r="M389" s="204" t="s">
        <v>298</v>
      </c>
      <c r="N389" s="204">
        <v>10201160202785</v>
      </c>
      <c r="O389" s="204">
        <v>71020121050330</v>
      </c>
      <c r="P389" s="206"/>
    </row>
    <row r="390" ht="14.25" spans="1:16">
      <c r="A390" s="200">
        <v>3359</v>
      </c>
      <c r="B390" s="201" t="s">
        <v>340</v>
      </c>
      <c r="C390" s="202">
        <v>44390.7165740741</v>
      </c>
      <c r="D390" s="202">
        <v>44390.7174305556</v>
      </c>
      <c r="E390" s="203" t="s">
        <v>300</v>
      </c>
      <c r="F390" s="204" t="s">
        <v>220</v>
      </c>
      <c r="G390" s="204">
        <v>1500</v>
      </c>
      <c r="H390" s="203" t="s">
        <v>222</v>
      </c>
      <c r="I390" s="204" t="s">
        <v>341</v>
      </c>
      <c r="J390" s="204" t="s">
        <v>342</v>
      </c>
      <c r="K390" s="204" t="s">
        <v>40</v>
      </c>
      <c r="L390" s="204" t="str">
        <f>VLOOKUP(K:K,供应商清单!$A:$B,2,0)</f>
        <v>镒沣</v>
      </c>
      <c r="M390" s="204" t="s">
        <v>298</v>
      </c>
      <c r="N390" s="204">
        <v>10201160202786</v>
      </c>
      <c r="O390" s="204">
        <v>71020121051431</v>
      </c>
      <c r="P390" s="206"/>
    </row>
    <row r="391" ht="14.25" spans="1:16">
      <c r="A391" s="200">
        <v>3360</v>
      </c>
      <c r="B391" s="201" t="s">
        <v>340</v>
      </c>
      <c r="C391" s="202">
        <v>44390.7167013889</v>
      </c>
      <c r="D391" s="202">
        <v>44390.7174305556</v>
      </c>
      <c r="E391" s="203" t="s">
        <v>300</v>
      </c>
      <c r="F391" s="204" t="s">
        <v>220</v>
      </c>
      <c r="G391" s="204">
        <v>500</v>
      </c>
      <c r="H391" s="203" t="s">
        <v>222</v>
      </c>
      <c r="I391" s="204" t="s">
        <v>341</v>
      </c>
      <c r="J391" s="204" t="s">
        <v>342</v>
      </c>
      <c r="K391" s="204" t="s">
        <v>40</v>
      </c>
      <c r="L391" s="204" t="str">
        <f>VLOOKUP(K:K,供应商清单!$A:$B,2,0)</f>
        <v>镒沣</v>
      </c>
      <c r="M391" s="204" t="s">
        <v>298</v>
      </c>
      <c r="N391" s="204">
        <v>10201160202786</v>
      </c>
      <c r="O391" s="204">
        <v>71020121051181</v>
      </c>
      <c r="P391" s="206"/>
    </row>
    <row r="392" ht="14.25" spans="1:16">
      <c r="A392" s="200">
        <v>3361</v>
      </c>
      <c r="B392" s="201" t="s">
        <v>340</v>
      </c>
      <c r="C392" s="202">
        <v>44390.7167013889</v>
      </c>
      <c r="D392" s="202">
        <v>44390.7174305556</v>
      </c>
      <c r="E392" s="203" t="s">
        <v>300</v>
      </c>
      <c r="F392" s="204" t="s">
        <v>220</v>
      </c>
      <c r="G392" s="204">
        <v>600</v>
      </c>
      <c r="H392" s="203" t="s">
        <v>222</v>
      </c>
      <c r="I392" s="204" t="s">
        <v>341</v>
      </c>
      <c r="J392" s="204" t="s">
        <v>342</v>
      </c>
      <c r="K392" s="204" t="s">
        <v>40</v>
      </c>
      <c r="L392" s="204" t="str">
        <f>VLOOKUP(K:K,供应商清单!$A:$B,2,0)</f>
        <v>镒沣</v>
      </c>
      <c r="M392" s="204" t="s">
        <v>298</v>
      </c>
      <c r="N392" s="204">
        <v>10201160202786</v>
      </c>
      <c r="O392" s="204">
        <v>71020121050648</v>
      </c>
      <c r="P392" s="206"/>
    </row>
    <row r="393" ht="14.25" spans="1:16">
      <c r="A393" s="200">
        <v>3362</v>
      </c>
      <c r="B393" s="201" t="s">
        <v>340</v>
      </c>
      <c r="C393" s="202">
        <v>44390.7170833333</v>
      </c>
      <c r="D393" s="202">
        <v>44390.7174305556</v>
      </c>
      <c r="E393" s="203" t="s">
        <v>300</v>
      </c>
      <c r="F393" s="204" t="s">
        <v>220</v>
      </c>
      <c r="G393" s="204">
        <v>1000</v>
      </c>
      <c r="H393" s="203" t="s">
        <v>222</v>
      </c>
      <c r="I393" s="204" t="s">
        <v>341</v>
      </c>
      <c r="J393" s="204" t="s">
        <v>342</v>
      </c>
      <c r="K393" s="204" t="s">
        <v>40</v>
      </c>
      <c r="L393" s="204" t="str">
        <f>VLOOKUP(K:K,供应商清单!$A:$B,2,0)</f>
        <v>镒沣</v>
      </c>
      <c r="M393" s="204" t="s">
        <v>298</v>
      </c>
      <c r="N393" s="204">
        <v>10201160202786</v>
      </c>
      <c r="O393" s="204">
        <v>71020121050330</v>
      </c>
      <c r="P393" s="206"/>
    </row>
    <row r="394" ht="14.25" spans="1:16">
      <c r="A394" s="200">
        <v>3363</v>
      </c>
      <c r="B394" s="201" t="s">
        <v>340</v>
      </c>
      <c r="C394" s="202">
        <v>44390.7170949074</v>
      </c>
      <c r="D394" s="202">
        <v>44390.7174305556</v>
      </c>
      <c r="E394" s="203" t="s">
        <v>235</v>
      </c>
      <c r="F394" s="204" t="s">
        <v>228</v>
      </c>
      <c r="G394" s="204">
        <v>4600</v>
      </c>
      <c r="H394" s="203" t="s">
        <v>222</v>
      </c>
      <c r="I394" s="204" t="s">
        <v>341</v>
      </c>
      <c r="J394" s="204" t="s">
        <v>342</v>
      </c>
      <c r="K394" s="204" t="s">
        <v>36</v>
      </c>
      <c r="L394" s="204" t="str">
        <f>VLOOKUP(K:K,供应商清单!$A:$B,2,0)</f>
        <v>东航</v>
      </c>
      <c r="M394" s="204" t="s">
        <v>176</v>
      </c>
      <c r="N394" s="204">
        <v>10201160202837</v>
      </c>
      <c r="O394" s="204">
        <v>71020121051195</v>
      </c>
      <c r="P394" s="206"/>
    </row>
    <row r="395" ht="14.25" spans="1:16">
      <c r="A395" s="200">
        <v>3570</v>
      </c>
      <c r="B395" s="201" t="s">
        <v>340</v>
      </c>
      <c r="C395" s="202">
        <v>44387.5628240741</v>
      </c>
      <c r="D395" s="202">
        <v>44387.5630555556</v>
      </c>
      <c r="E395" s="203" t="s">
        <v>125</v>
      </c>
      <c r="F395" s="204" t="s">
        <v>228</v>
      </c>
      <c r="G395" s="204">
        <v>4200</v>
      </c>
      <c r="H395" s="203" t="s">
        <v>222</v>
      </c>
      <c r="I395" s="204" t="s">
        <v>341</v>
      </c>
      <c r="J395" s="204" t="s">
        <v>342</v>
      </c>
      <c r="K395" s="204" t="s">
        <v>36</v>
      </c>
      <c r="L395" s="204" t="str">
        <f>VLOOKUP(K:K,供应商清单!$A:$B,2,0)</f>
        <v>东航</v>
      </c>
      <c r="M395" s="204" t="s">
        <v>176</v>
      </c>
      <c r="N395" s="204">
        <v>10201160202460</v>
      </c>
      <c r="O395" s="204">
        <v>71020121050654</v>
      </c>
      <c r="P395" s="206"/>
    </row>
    <row r="396" ht="14.25" spans="1:16">
      <c r="A396" s="200">
        <v>3571</v>
      </c>
      <c r="B396" s="201" t="s">
        <v>340</v>
      </c>
      <c r="C396" s="202">
        <v>44387.5628240741</v>
      </c>
      <c r="D396" s="202">
        <v>44387.5630555556</v>
      </c>
      <c r="E396" s="203" t="s">
        <v>125</v>
      </c>
      <c r="F396" s="204" t="s">
        <v>228</v>
      </c>
      <c r="G396" s="204">
        <v>4200</v>
      </c>
      <c r="H396" s="203" t="s">
        <v>222</v>
      </c>
      <c r="I396" s="204" t="s">
        <v>341</v>
      </c>
      <c r="J396" s="204" t="s">
        <v>342</v>
      </c>
      <c r="K396" s="204" t="s">
        <v>36</v>
      </c>
      <c r="L396" s="204" t="str">
        <f>VLOOKUP(K:K,供应商清单!$A:$B,2,0)</f>
        <v>东航</v>
      </c>
      <c r="M396" s="204" t="s">
        <v>176</v>
      </c>
      <c r="N396" s="204">
        <v>10201160202460</v>
      </c>
      <c r="O396" s="204">
        <v>71020121050654</v>
      </c>
      <c r="P396" s="206"/>
    </row>
    <row r="397" ht="14.25" spans="1:16">
      <c r="A397" s="200">
        <v>3574</v>
      </c>
      <c r="B397" s="201" t="s">
        <v>340</v>
      </c>
      <c r="C397" s="202">
        <v>44387.5628240741</v>
      </c>
      <c r="D397" s="202">
        <v>44387.5630555556</v>
      </c>
      <c r="E397" s="203" t="s">
        <v>125</v>
      </c>
      <c r="F397" s="204" t="s">
        <v>228</v>
      </c>
      <c r="G397" s="204">
        <v>1100</v>
      </c>
      <c r="H397" s="203" t="s">
        <v>222</v>
      </c>
      <c r="I397" s="204" t="s">
        <v>341</v>
      </c>
      <c r="J397" s="204" t="s">
        <v>342</v>
      </c>
      <c r="K397" s="204" t="s">
        <v>36</v>
      </c>
      <c r="L397" s="204" t="str">
        <f>VLOOKUP(K:K,供应商清单!$A:$B,2,0)</f>
        <v>东航</v>
      </c>
      <c r="M397" s="204" t="s">
        <v>176</v>
      </c>
      <c r="N397" s="204">
        <v>10201160202461</v>
      </c>
      <c r="O397" s="204">
        <v>71020121060304</v>
      </c>
      <c r="P397" s="206"/>
    </row>
    <row r="398" ht="14.25" spans="1:16">
      <c r="A398" s="200">
        <v>3575</v>
      </c>
      <c r="B398" s="201" t="s">
        <v>340</v>
      </c>
      <c r="C398" s="202">
        <v>44387.5628240741</v>
      </c>
      <c r="D398" s="202">
        <v>44387.5630555556</v>
      </c>
      <c r="E398" s="203" t="s">
        <v>125</v>
      </c>
      <c r="F398" s="204" t="s">
        <v>228</v>
      </c>
      <c r="G398" s="204">
        <v>4000</v>
      </c>
      <c r="H398" s="203" t="s">
        <v>222</v>
      </c>
      <c r="I398" s="204" t="s">
        <v>341</v>
      </c>
      <c r="J398" s="204" t="s">
        <v>342</v>
      </c>
      <c r="K398" s="204" t="s">
        <v>36</v>
      </c>
      <c r="L398" s="204" t="str">
        <f>VLOOKUP(K:K,供应商清单!$A:$B,2,0)</f>
        <v>东航</v>
      </c>
      <c r="M398" s="204" t="s">
        <v>176</v>
      </c>
      <c r="N398" s="204">
        <v>10201160202461</v>
      </c>
      <c r="O398" s="204">
        <v>71020121050654</v>
      </c>
      <c r="P398" s="206"/>
    </row>
    <row r="399" ht="14.25" spans="1:16">
      <c r="A399" s="200">
        <v>3576</v>
      </c>
      <c r="B399" s="201" t="s">
        <v>340</v>
      </c>
      <c r="C399" s="202">
        <v>44387.5628240741</v>
      </c>
      <c r="D399" s="202">
        <v>44387.5630555556</v>
      </c>
      <c r="E399" s="203" t="s">
        <v>237</v>
      </c>
      <c r="F399" s="204" t="s">
        <v>229</v>
      </c>
      <c r="G399" s="204">
        <v>1300</v>
      </c>
      <c r="H399" s="203" t="s">
        <v>222</v>
      </c>
      <c r="I399" s="204" t="s">
        <v>341</v>
      </c>
      <c r="J399" s="204" t="s">
        <v>342</v>
      </c>
      <c r="K399" s="204" t="s">
        <v>36</v>
      </c>
      <c r="L399" s="204" t="str">
        <f>VLOOKUP(K:K,供应商清单!$A:$B,2,0)</f>
        <v>东航</v>
      </c>
      <c r="M399" s="204" t="s">
        <v>176</v>
      </c>
      <c r="N399" s="204">
        <v>10201160202470</v>
      </c>
      <c r="O399" s="204">
        <v>71020121060810</v>
      </c>
      <c r="P399" s="206"/>
    </row>
    <row r="400" ht="14.25" spans="1:16">
      <c r="A400" s="200">
        <v>3577</v>
      </c>
      <c r="B400" s="201" t="s">
        <v>340</v>
      </c>
      <c r="C400" s="202">
        <v>44387.5628240741</v>
      </c>
      <c r="D400" s="202">
        <v>44387.5630671296</v>
      </c>
      <c r="E400" s="203" t="s">
        <v>107</v>
      </c>
      <c r="F400" s="204" t="s">
        <v>220</v>
      </c>
      <c r="G400" s="204">
        <v>1160</v>
      </c>
      <c r="H400" s="203" t="s">
        <v>222</v>
      </c>
      <c r="I400" s="204" t="s">
        <v>341</v>
      </c>
      <c r="J400" s="204" t="s">
        <v>342</v>
      </c>
      <c r="K400" s="204" t="s">
        <v>34</v>
      </c>
      <c r="L400" s="204" t="str">
        <f>VLOOKUP(K:K,供应商清单!$A:$B,2,0)</f>
        <v>大长今</v>
      </c>
      <c r="M400" s="204" t="s">
        <v>176</v>
      </c>
      <c r="N400" s="204">
        <v>10201160202473</v>
      </c>
      <c r="O400" s="204">
        <v>71020121060808</v>
      </c>
      <c r="P400" s="206"/>
    </row>
    <row r="401" ht="14.25" spans="1:16">
      <c r="A401" s="200">
        <v>3578</v>
      </c>
      <c r="B401" s="201" t="s">
        <v>340</v>
      </c>
      <c r="C401" s="202">
        <v>44387.5628240741</v>
      </c>
      <c r="D401" s="202">
        <v>44387.5630671296</v>
      </c>
      <c r="E401" s="203" t="s">
        <v>107</v>
      </c>
      <c r="F401" s="204" t="s">
        <v>220</v>
      </c>
      <c r="G401" s="204">
        <v>5000</v>
      </c>
      <c r="H401" s="203" t="s">
        <v>222</v>
      </c>
      <c r="I401" s="204" t="s">
        <v>341</v>
      </c>
      <c r="J401" s="204" t="s">
        <v>342</v>
      </c>
      <c r="K401" s="204" t="s">
        <v>34</v>
      </c>
      <c r="L401" s="204" t="str">
        <f>VLOOKUP(K:K,供应商清单!$A:$B,2,0)</f>
        <v>大长今</v>
      </c>
      <c r="M401" s="204" t="s">
        <v>176</v>
      </c>
      <c r="N401" s="204">
        <v>10201160202473</v>
      </c>
      <c r="O401" s="204">
        <v>71020121060808</v>
      </c>
      <c r="P401" s="206"/>
    </row>
    <row r="402" ht="14.25" spans="1:16">
      <c r="A402" s="200">
        <v>3579</v>
      </c>
      <c r="B402" s="201" t="s">
        <v>340</v>
      </c>
      <c r="C402" s="202">
        <v>44387.562974537</v>
      </c>
      <c r="D402" s="202">
        <v>44387.5630671296</v>
      </c>
      <c r="E402" s="203" t="s">
        <v>144</v>
      </c>
      <c r="F402" s="204" t="s">
        <v>259</v>
      </c>
      <c r="G402" s="204">
        <v>5400</v>
      </c>
      <c r="H402" s="203" t="s">
        <v>222</v>
      </c>
      <c r="I402" s="204" t="s">
        <v>341</v>
      </c>
      <c r="J402" s="204" t="s">
        <v>342</v>
      </c>
      <c r="K402" s="204" t="s">
        <v>25</v>
      </c>
      <c r="L402" s="204" t="str">
        <f>VLOOKUP(K:K,供应商清单!$A:$B,2,0)</f>
        <v>珊瑚</v>
      </c>
      <c r="M402" s="204" t="s">
        <v>176</v>
      </c>
      <c r="N402" s="204">
        <v>10201160202504</v>
      </c>
      <c r="O402" s="204">
        <v>71020121060990</v>
      </c>
      <c r="P402" s="206"/>
    </row>
    <row r="403" ht="14.25" spans="1:16">
      <c r="A403" s="200">
        <v>3582</v>
      </c>
      <c r="B403" s="201" t="s">
        <v>340</v>
      </c>
      <c r="C403" s="202">
        <v>44389.7137615741</v>
      </c>
      <c r="D403" s="202">
        <v>44389.7140509259</v>
      </c>
      <c r="E403" s="203" t="s">
        <v>128</v>
      </c>
      <c r="F403" s="204" t="s">
        <v>240</v>
      </c>
      <c r="G403" s="204">
        <v>750</v>
      </c>
      <c r="H403" s="203" t="s">
        <v>222</v>
      </c>
      <c r="I403" s="204" t="s">
        <v>341</v>
      </c>
      <c r="J403" s="204" t="s">
        <v>342</v>
      </c>
      <c r="K403" s="204" t="s">
        <v>36</v>
      </c>
      <c r="L403" s="204" t="str">
        <f>VLOOKUP(K:K,供应商清单!$A:$B,2,0)</f>
        <v>东航</v>
      </c>
      <c r="M403" s="204" t="s">
        <v>176</v>
      </c>
      <c r="N403" s="204">
        <v>10201160202671</v>
      </c>
      <c r="O403" s="204">
        <v>71020121061450</v>
      </c>
      <c r="P403" s="206"/>
    </row>
    <row r="404" ht="14.25" spans="1:16">
      <c r="A404" s="200">
        <v>3583</v>
      </c>
      <c r="B404" s="201" t="s">
        <v>340</v>
      </c>
      <c r="C404" s="202">
        <v>44389.7137615741</v>
      </c>
      <c r="D404" s="202">
        <v>44389.7140509259</v>
      </c>
      <c r="E404" s="203" t="s">
        <v>128</v>
      </c>
      <c r="F404" s="204" t="s">
        <v>240</v>
      </c>
      <c r="G404" s="204">
        <v>3166</v>
      </c>
      <c r="H404" s="203" t="s">
        <v>222</v>
      </c>
      <c r="I404" s="204" t="s">
        <v>341</v>
      </c>
      <c r="J404" s="204" t="s">
        <v>342</v>
      </c>
      <c r="K404" s="204" t="s">
        <v>36</v>
      </c>
      <c r="L404" s="204" t="str">
        <f>VLOOKUP(K:K,供应商清单!$A:$B,2,0)</f>
        <v>东航</v>
      </c>
      <c r="M404" s="204" t="s">
        <v>176</v>
      </c>
      <c r="N404" s="204">
        <v>10201160202671</v>
      </c>
      <c r="O404" s="204">
        <v>71020121061450</v>
      </c>
      <c r="P404" s="206"/>
    </row>
    <row r="405" ht="14.25" spans="1:16">
      <c r="A405" s="200">
        <v>3584</v>
      </c>
      <c r="B405" s="201" t="s">
        <v>340</v>
      </c>
      <c r="C405" s="202">
        <v>44389.7137615741</v>
      </c>
      <c r="D405" s="202">
        <v>44389.7140509259</v>
      </c>
      <c r="E405" s="203" t="s">
        <v>239</v>
      </c>
      <c r="F405" s="204" t="s">
        <v>228</v>
      </c>
      <c r="G405" s="204">
        <v>1700</v>
      </c>
      <c r="H405" s="203" t="s">
        <v>222</v>
      </c>
      <c r="I405" s="204" t="s">
        <v>341</v>
      </c>
      <c r="J405" s="204" t="s">
        <v>342</v>
      </c>
      <c r="K405" s="204" t="s">
        <v>36</v>
      </c>
      <c r="L405" s="204" t="str">
        <f>VLOOKUP(K:K,供应商清单!$A:$B,2,0)</f>
        <v>东航</v>
      </c>
      <c r="M405" s="204" t="s">
        <v>176</v>
      </c>
      <c r="N405" s="204">
        <v>10201160202672</v>
      </c>
      <c r="O405" s="204">
        <v>71020121051443</v>
      </c>
      <c r="P405" s="206"/>
    </row>
    <row r="406" ht="14.25" spans="1:16">
      <c r="A406" s="200">
        <v>3585</v>
      </c>
      <c r="B406" s="201" t="s">
        <v>340</v>
      </c>
      <c r="C406" s="202">
        <v>44389.7137615741</v>
      </c>
      <c r="D406" s="202">
        <v>44389.7140509259</v>
      </c>
      <c r="E406" s="203" t="s">
        <v>123</v>
      </c>
      <c r="F406" s="204" t="s">
        <v>229</v>
      </c>
      <c r="G406" s="204">
        <v>193</v>
      </c>
      <c r="H406" s="203" t="s">
        <v>222</v>
      </c>
      <c r="I406" s="204" t="s">
        <v>341</v>
      </c>
      <c r="J406" s="204" t="s">
        <v>342</v>
      </c>
      <c r="K406" s="204" t="s">
        <v>36</v>
      </c>
      <c r="L406" s="204" t="str">
        <f>VLOOKUP(K:K,供应商清单!$A:$B,2,0)</f>
        <v>东航</v>
      </c>
      <c r="M406" s="204" t="s">
        <v>176</v>
      </c>
      <c r="N406" s="204">
        <v>10201160202673</v>
      </c>
      <c r="O406" s="204">
        <v>71020121060988</v>
      </c>
      <c r="P406" s="206"/>
    </row>
    <row r="407" ht="14.25" spans="1:16">
      <c r="A407" s="200">
        <v>3586</v>
      </c>
      <c r="B407" s="201" t="s">
        <v>340</v>
      </c>
      <c r="C407" s="202">
        <v>44389.7137615741</v>
      </c>
      <c r="D407" s="202">
        <v>44389.7140509259</v>
      </c>
      <c r="E407" s="203" t="s">
        <v>123</v>
      </c>
      <c r="F407" s="204" t="s">
        <v>229</v>
      </c>
      <c r="G407" s="204">
        <v>3700</v>
      </c>
      <c r="H407" s="203" t="s">
        <v>222</v>
      </c>
      <c r="I407" s="204" t="s">
        <v>341</v>
      </c>
      <c r="J407" s="204" t="s">
        <v>342</v>
      </c>
      <c r="K407" s="204" t="s">
        <v>36</v>
      </c>
      <c r="L407" s="204" t="str">
        <f>VLOOKUP(K:K,供应商清单!$A:$B,2,0)</f>
        <v>东航</v>
      </c>
      <c r="M407" s="204" t="s">
        <v>176</v>
      </c>
      <c r="N407" s="204">
        <v>10201160202673</v>
      </c>
      <c r="O407" s="204">
        <v>71020121060810</v>
      </c>
      <c r="P407" s="206"/>
    </row>
    <row r="408" ht="14.25" spans="1:16">
      <c r="A408" s="200">
        <v>3811</v>
      </c>
      <c r="B408" s="201" t="s">
        <v>340</v>
      </c>
      <c r="C408" s="202">
        <v>44392.4917476852</v>
      </c>
      <c r="D408" s="202">
        <v>44392.4919444444</v>
      </c>
      <c r="E408" s="203" t="s">
        <v>349</v>
      </c>
      <c r="F408" s="204" t="s">
        <v>220</v>
      </c>
      <c r="G408" s="204">
        <v>3740</v>
      </c>
      <c r="H408" s="203" t="s">
        <v>222</v>
      </c>
      <c r="I408" s="204" t="s">
        <v>341</v>
      </c>
      <c r="J408" s="204" t="s">
        <v>342</v>
      </c>
      <c r="K408" s="204" t="s">
        <v>25</v>
      </c>
      <c r="L408" s="204" t="str">
        <f>VLOOKUP(K:K,供应商清单!$A:$B,2,0)</f>
        <v>珊瑚</v>
      </c>
      <c r="M408" s="204" t="s">
        <v>298</v>
      </c>
      <c r="N408" s="204">
        <v>10201160203279</v>
      </c>
      <c r="O408" s="204">
        <v>71020121070742</v>
      </c>
      <c r="P408" s="206"/>
    </row>
    <row r="409" ht="14.25" spans="1:16">
      <c r="A409" s="200">
        <v>3812</v>
      </c>
      <c r="B409" s="201" t="s">
        <v>340</v>
      </c>
      <c r="C409" s="202">
        <v>44392.4917592593</v>
      </c>
      <c r="D409" s="202">
        <v>44392.4919560185</v>
      </c>
      <c r="E409" s="203" t="s">
        <v>348</v>
      </c>
      <c r="F409" s="204" t="s">
        <v>220</v>
      </c>
      <c r="G409" s="204">
        <v>5700</v>
      </c>
      <c r="H409" s="203" t="s">
        <v>222</v>
      </c>
      <c r="I409" s="204" t="s">
        <v>341</v>
      </c>
      <c r="J409" s="204" t="s">
        <v>342</v>
      </c>
      <c r="K409" s="204" t="s">
        <v>25</v>
      </c>
      <c r="L409" s="204" t="str">
        <f>VLOOKUP(K:K,供应商清单!$A:$B,2,0)</f>
        <v>珊瑚</v>
      </c>
      <c r="M409" s="204" t="s">
        <v>298</v>
      </c>
      <c r="N409" s="204">
        <v>10201160203280</v>
      </c>
      <c r="O409" s="204">
        <v>71020121070742</v>
      </c>
      <c r="P409" s="206"/>
    </row>
    <row r="410" ht="14.25" spans="1:16">
      <c r="A410" s="200">
        <v>3863</v>
      </c>
      <c r="B410" s="201" t="s">
        <v>340</v>
      </c>
      <c r="C410" s="202">
        <v>44381.8827199074</v>
      </c>
      <c r="D410" s="202">
        <v>44381.8830439815</v>
      </c>
      <c r="E410" s="203" t="s">
        <v>356</v>
      </c>
      <c r="F410" s="204" t="s">
        <v>357</v>
      </c>
      <c r="G410" s="204">
        <v>800</v>
      </c>
      <c r="H410" s="203" t="s">
        <v>222</v>
      </c>
      <c r="I410" s="204" t="s">
        <v>341</v>
      </c>
      <c r="J410" s="204" t="s">
        <v>342</v>
      </c>
      <c r="K410" s="204" t="s">
        <v>40</v>
      </c>
      <c r="L410" s="204" t="str">
        <f>VLOOKUP(K:K,供应商清单!$A:$B,2,0)</f>
        <v>镒沣</v>
      </c>
      <c r="M410" s="204" t="s">
        <v>298</v>
      </c>
      <c r="N410" s="204">
        <v>10201160201548</v>
      </c>
      <c r="O410" s="204">
        <v>71020121051431</v>
      </c>
      <c r="P410" s="208">
        <v>32107010053</v>
      </c>
    </row>
    <row r="411" ht="14.25" spans="1:16">
      <c r="A411" s="200">
        <v>3864</v>
      </c>
      <c r="B411" s="201" t="s">
        <v>340</v>
      </c>
      <c r="C411" s="202">
        <v>44381.8827199074</v>
      </c>
      <c r="D411" s="202">
        <v>44381.8830439815</v>
      </c>
      <c r="E411" s="203" t="s">
        <v>145</v>
      </c>
      <c r="F411" s="204" t="s">
        <v>256</v>
      </c>
      <c r="G411" s="204">
        <v>3596</v>
      </c>
      <c r="H411" s="203" t="s">
        <v>222</v>
      </c>
      <c r="I411" s="204" t="s">
        <v>341</v>
      </c>
      <c r="J411" s="204" t="s">
        <v>342</v>
      </c>
      <c r="K411" s="204" t="s">
        <v>25</v>
      </c>
      <c r="L411" s="204" t="str">
        <f>VLOOKUP(K:K,供应商清单!$A:$B,2,0)</f>
        <v>珊瑚</v>
      </c>
      <c r="M411" s="204" t="s">
        <v>176</v>
      </c>
      <c r="N411" s="204">
        <v>10201160201553</v>
      </c>
      <c r="O411" s="204">
        <v>71020121050650</v>
      </c>
      <c r="P411" s="206"/>
    </row>
    <row r="412" ht="14.25" spans="1:16">
      <c r="A412" s="200">
        <v>3865</v>
      </c>
      <c r="B412" s="201" t="s">
        <v>340</v>
      </c>
      <c r="C412" s="202">
        <v>44381.8827199074</v>
      </c>
      <c r="D412" s="202">
        <v>44381.8830439815</v>
      </c>
      <c r="E412" s="203" t="s">
        <v>145</v>
      </c>
      <c r="F412" s="204" t="s">
        <v>256</v>
      </c>
      <c r="G412" s="204">
        <v>1004</v>
      </c>
      <c r="H412" s="203" t="s">
        <v>222</v>
      </c>
      <c r="I412" s="204" t="s">
        <v>341</v>
      </c>
      <c r="J412" s="204" t="s">
        <v>342</v>
      </c>
      <c r="K412" s="204" t="s">
        <v>25</v>
      </c>
      <c r="L412" s="204" t="str">
        <f>VLOOKUP(K:K,供应商清单!$A:$B,2,0)</f>
        <v>珊瑚</v>
      </c>
      <c r="M412" s="204" t="s">
        <v>176</v>
      </c>
      <c r="N412" s="204">
        <v>10201160201553</v>
      </c>
      <c r="O412" s="204">
        <v>71020121031262</v>
      </c>
      <c r="P412" s="206"/>
    </row>
    <row r="413" ht="14.25" spans="1:16">
      <c r="A413" s="200">
        <v>3866</v>
      </c>
      <c r="B413" s="201" t="s">
        <v>340</v>
      </c>
      <c r="C413" s="202">
        <v>44381.8827199074</v>
      </c>
      <c r="D413" s="202">
        <v>44381.8830439815</v>
      </c>
      <c r="E413" s="203" t="s">
        <v>158</v>
      </c>
      <c r="F413" s="204" t="s">
        <v>257</v>
      </c>
      <c r="G413" s="204">
        <v>1660</v>
      </c>
      <c r="H413" s="203" t="s">
        <v>222</v>
      </c>
      <c r="I413" s="204" t="s">
        <v>341</v>
      </c>
      <c r="J413" s="204" t="s">
        <v>342</v>
      </c>
      <c r="K413" s="204" t="s">
        <v>25</v>
      </c>
      <c r="L413" s="204" t="str">
        <f>VLOOKUP(K:K,供应商清单!$A:$B,2,0)</f>
        <v>珊瑚</v>
      </c>
      <c r="M413" s="204" t="s">
        <v>176</v>
      </c>
      <c r="N413" s="204">
        <v>10201160201554</v>
      </c>
      <c r="O413" s="204">
        <v>71020121051438</v>
      </c>
      <c r="P413" s="206"/>
    </row>
    <row r="414" ht="14.25" spans="1:16">
      <c r="A414" s="200">
        <v>3867</v>
      </c>
      <c r="B414" s="201" t="s">
        <v>340</v>
      </c>
      <c r="C414" s="202">
        <v>44381.8827199074</v>
      </c>
      <c r="D414" s="202">
        <v>44381.8830555556</v>
      </c>
      <c r="E414" s="203" t="s">
        <v>158</v>
      </c>
      <c r="F414" s="204" t="s">
        <v>257</v>
      </c>
      <c r="G414" s="204">
        <v>10000</v>
      </c>
      <c r="H414" s="203" t="s">
        <v>222</v>
      </c>
      <c r="I414" s="204" t="s">
        <v>341</v>
      </c>
      <c r="J414" s="204" t="s">
        <v>342</v>
      </c>
      <c r="K414" s="204" t="s">
        <v>25</v>
      </c>
      <c r="L414" s="204" t="str">
        <f>VLOOKUP(K:K,供应商清单!$A:$B,2,0)</f>
        <v>珊瑚</v>
      </c>
      <c r="M414" s="204" t="s">
        <v>176</v>
      </c>
      <c r="N414" s="204">
        <v>10201160201554</v>
      </c>
      <c r="O414" s="204">
        <v>71020121051438</v>
      </c>
      <c r="P414" s="206"/>
    </row>
    <row r="415" ht="14.25" spans="1:16">
      <c r="A415" s="200">
        <v>3868</v>
      </c>
      <c r="B415" s="201" t="s">
        <v>340</v>
      </c>
      <c r="C415" s="202">
        <v>44381.8827199074</v>
      </c>
      <c r="D415" s="202">
        <v>44381.8830555556</v>
      </c>
      <c r="E415" s="203" t="s">
        <v>158</v>
      </c>
      <c r="F415" s="204" t="s">
        <v>257</v>
      </c>
      <c r="G415" s="204">
        <v>1140</v>
      </c>
      <c r="H415" s="203" t="s">
        <v>222</v>
      </c>
      <c r="I415" s="204" t="s">
        <v>341</v>
      </c>
      <c r="J415" s="204" t="s">
        <v>342</v>
      </c>
      <c r="K415" s="204" t="s">
        <v>25</v>
      </c>
      <c r="L415" s="204" t="str">
        <f>VLOOKUP(K:K,供应商清单!$A:$B,2,0)</f>
        <v>珊瑚</v>
      </c>
      <c r="M415" s="204" t="s">
        <v>176</v>
      </c>
      <c r="N415" s="204">
        <v>10201160201554</v>
      </c>
      <c r="O415" s="204">
        <v>71020121051438</v>
      </c>
      <c r="P415" s="206"/>
    </row>
    <row r="416" ht="14.25" spans="1:16">
      <c r="A416" s="200">
        <v>4100</v>
      </c>
      <c r="B416" s="201" t="s">
        <v>340</v>
      </c>
      <c r="C416" s="202">
        <v>44386.4098958333</v>
      </c>
      <c r="D416" s="202">
        <v>44386.4100115741</v>
      </c>
      <c r="E416" s="203" t="s">
        <v>333</v>
      </c>
      <c r="F416" s="204" t="s">
        <v>334</v>
      </c>
      <c r="G416" s="204">
        <v>1000</v>
      </c>
      <c r="H416" s="203" t="s">
        <v>222</v>
      </c>
      <c r="I416" s="204" t="s">
        <v>347</v>
      </c>
      <c r="J416" s="204" t="s">
        <v>342</v>
      </c>
      <c r="K416" s="204" t="s">
        <v>51</v>
      </c>
      <c r="L416" s="204" t="str">
        <f>VLOOKUP(K:K,供应商清单!$A:$B,2,0)</f>
        <v>顶尖</v>
      </c>
      <c r="M416" s="204" t="s">
        <v>298</v>
      </c>
      <c r="N416" s="204">
        <v>10201160202188</v>
      </c>
      <c r="O416" s="204">
        <v>71020121061086</v>
      </c>
      <c r="P416" s="206"/>
    </row>
    <row r="417" ht="14.25" spans="1:16">
      <c r="A417" s="200">
        <v>4101</v>
      </c>
      <c r="B417" s="201" t="s">
        <v>340</v>
      </c>
      <c r="C417" s="202">
        <v>44386.4098958333</v>
      </c>
      <c r="D417" s="202">
        <v>44386.4100231481</v>
      </c>
      <c r="E417" s="203" t="s">
        <v>333</v>
      </c>
      <c r="F417" s="204" t="s">
        <v>334</v>
      </c>
      <c r="G417" s="204">
        <v>1000</v>
      </c>
      <c r="H417" s="203" t="s">
        <v>222</v>
      </c>
      <c r="I417" s="204" t="s">
        <v>347</v>
      </c>
      <c r="J417" s="204" t="s">
        <v>342</v>
      </c>
      <c r="K417" s="204" t="s">
        <v>51</v>
      </c>
      <c r="L417" s="204" t="str">
        <f>VLOOKUP(K:K,供应商清单!$A:$B,2,0)</f>
        <v>顶尖</v>
      </c>
      <c r="M417" s="204" t="s">
        <v>298</v>
      </c>
      <c r="N417" s="204">
        <v>10201160202188</v>
      </c>
      <c r="O417" s="204">
        <v>71020121050212</v>
      </c>
      <c r="P417" s="206"/>
    </row>
    <row r="418" ht="14.25" spans="1:16">
      <c r="A418" s="200">
        <v>4159</v>
      </c>
      <c r="B418" s="201" t="s">
        <v>340</v>
      </c>
      <c r="C418" s="202">
        <v>44384.702974537</v>
      </c>
      <c r="D418" s="202">
        <v>44384.7032986111</v>
      </c>
      <c r="E418" s="203" t="s">
        <v>129</v>
      </c>
      <c r="F418" s="204" t="s">
        <v>229</v>
      </c>
      <c r="G418" s="204">
        <v>5000</v>
      </c>
      <c r="H418" s="203" t="s">
        <v>222</v>
      </c>
      <c r="I418" s="204" t="s">
        <v>341</v>
      </c>
      <c r="J418" s="204" t="s">
        <v>342</v>
      </c>
      <c r="K418" s="204" t="s">
        <v>36</v>
      </c>
      <c r="L418" s="204" t="str">
        <f>VLOOKUP(K:K,供应商清单!$A:$B,2,0)</f>
        <v>东航</v>
      </c>
      <c r="M418" s="204" t="s">
        <v>176</v>
      </c>
      <c r="N418" s="204">
        <v>10201160201847</v>
      </c>
      <c r="O418" s="204">
        <v>71020121051195</v>
      </c>
      <c r="P418" s="206"/>
    </row>
    <row r="419" ht="14.25" spans="1:16">
      <c r="A419" s="200">
        <v>4160</v>
      </c>
      <c r="B419" s="201" t="s">
        <v>340</v>
      </c>
      <c r="C419" s="202">
        <v>44384.7029861111</v>
      </c>
      <c r="D419" s="202">
        <v>44384.7032986111</v>
      </c>
      <c r="E419" s="203" t="s">
        <v>129</v>
      </c>
      <c r="F419" s="204" t="s">
        <v>229</v>
      </c>
      <c r="G419" s="204">
        <v>5000</v>
      </c>
      <c r="H419" s="203" t="s">
        <v>222</v>
      </c>
      <c r="I419" s="204" t="s">
        <v>341</v>
      </c>
      <c r="J419" s="204" t="s">
        <v>342</v>
      </c>
      <c r="K419" s="204" t="s">
        <v>36</v>
      </c>
      <c r="L419" s="204" t="str">
        <f>VLOOKUP(K:K,供应商清单!$A:$B,2,0)</f>
        <v>东航</v>
      </c>
      <c r="M419" s="204" t="s">
        <v>176</v>
      </c>
      <c r="N419" s="204">
        <v>10201160201847</v>
      </c>
      <c r="O419" s="204">
        <v>71020121051195</v>
      </c>
      <c r="P419" s="206"/>
    </row>
    <row r="420" ht="14.25" spans="1:16">
      <c r="A420" s="200">
        <v>4164</v>
      </c>
      <c r="B420" s="201" t="s">
        <v>340</v>
      </c>
      <c r="C420" s="202">
        <v>44386.4098958333</v>
      </c>
      <c r="D420" s="202">
        <v>44386.4104282407</v>
      </c>
      <c r="E420" s="203" t="s">
        <v>118</v>
      </c>
      <c r="F420" s="204" t="s">
        <v>220</v>
      </c>
      <c r="G420" s="204">
        <v>300</v>
      </c>
      <c r="H420" s="203" t="s">
        <v>222</v>
      </c>
      <c r="I420" s="204" t="s">
        <v>341</v>
      </c>
      <c r="J420" s="204" t="s">
        <v>342</v>
      </c>
      <c r="K420" s="204" t="s">
        <v>34</v>
      </c>
      <c r="L420" s="204" t="str">
        <f>VLOOKUP(K:K,供应商清单!$A:$B,2,0)</f>
        <v>大长今</v>
      </c>
      <c r="M420" s="204" t="s">
        <v>176</v>
      </c>
      <c r="N420" s="204">
        <v>10201160202272</v>
      </c>
      <c r="O420" s="204">
        <v>71020121051444</v>
      </c>
      <c r="P420" s="206"/>
    </row>
    <row r="421" ht="14.25" spans="1:16">
      <c r="A421" s="200">
        <v>4165</v>
      </c>
      <c r="B421" s="201" t="s">
        <v>340</v>
      </c>
      <c r="C421" s="202">
        <v>44386.4098958333</v>
      </c>
      <c r="D421" s="202">
        <v>44386.4104282407</v>
      </c>
      <c r="E421" s="203" t="s">
        <v>118</v>
      </c>
      <c r="F421" s="204" t="s">
        <v>220</v>
      </c>
      <c r="G421" s="204">
        <v>2043</v>
      </c>
      <c r="H421" s="203" t="s">
        <v>222</v>
      </c>
      <c r="I421" s="204" t="s">
        <v>341</v>
      </c>
      <c r="J421" s="204" t="s">
        <v>342</v>
      </c>
      <c r="K421" s="204" t="s">
        <v>34</v>
      </c>
      <c r="L421" s="204" t="str">
        <f>VLOOKUP(K:K,供应商清单!$A:$B,2,0)</f>
        <v>大长今</v>
      </c>
      <c r="M421" s="204" t="s">
        <v>176</v>
      </c>
      <c r="N421" s="204">
        <v>10201160202272</v>
      </c>
      <c r="O421" s="204">
        <v>71020121051444</v>
      </c>
      <c r="P421" s="206"/>
    </row>
    <row r="422" ht="14.25" spans="1:16">
      <c r="A422" s="200">
        <v>4166</v>
      </c>
      <c r="B422" s="201" t="s">
        <v>340</v>
      </c>
      <c r="C422" s="202">
        <v>44386.4098958333</v>
      </c>
      <c r="D422" s="202">
        <v>44386.4104398148</v>
      </c>
      <c r="E422" s="203" t="s">
        <v>119</v>
      </c>
      <c r="F422" s="204" t="s">
        <v>220</v>
      </c>
      <c r="G422" s="204">
        <v>54</v>
      </c>
      <c r="H422" s="203" t="s">
        <v>222</v>
      </c>
      <c r="I422" s="204" t="s">
        <v>341</v>
      </c>
      <c r="J422" s="204" t="s">
        <v>342</v>
      </c>
      <c r="K422" s="204" t="s">
        <v>34</v>
      </c>
      <c r="L422" s="204" t="str">
        <f>VLOOKUP(K:K,供应商清单!$A:$B,2,0)</f>
        <v>大长今</v>
      </c>
      <c r="M422" s="204" t="s">
        <v>176</v>
      </c>
      <c r="N422" s="204">
        <v>10201160202272</v>
      </c>
      <c r="O422" s="204">
        <v>71020121050653</v>
      </c>
      <c r="P422" s="206"/>
    </row>
    <row r="423" ht="14.25" spans="1:16">
      <c r="A423" s="200">
        <v>4191</v>
      </c>
      <c r="B423" s="201" t="s">
        <v>340</v>
      </c>
      <c r="C423" s="202">
        <v>44387.5880439815</v>
      </c>
      <c r="D423" s="202">
        <v>44387.5888194444</v>
      </c>
      <c r="E423" s="203" t="s">
        <v>144</v>
      </c>
      <c r="F423" s="204" t="s">
        <v>259</v>
      </c>
      <c r="G423" s="204">
        <v>4720</v>
      </c>
      <c r="H423" s="203" t="s">
        <v>222</v>
      </c>
      <c r="I423" s="204" t="s">
        <v>341</v>
      </c>
      <c r="J423" s="204" t="s">
        <v>342</v>
      </c>
      <c r="K423" s="204" t="s">
        <v>25</v>
      </c>
      <c r="L423" s="204" t="str">
        <f>VLOOKUP(K:K,供应商清单!$A:$B,2,0)</f>
        <v>珊瑚</v>
      </c>
      <c r="M423" s="204" t="s">
        <v>176</v>
      </c>
      <c r="N423" s="204">
        <v>10201160202294</v>
      </c>
      <c r="O423" s="204">
        <v>71020121060990</v>
      </c>
      <c r="P423" s="206"/>
    </row>
    <row r="424" ht="14.25" spans="1:16">
      <c r="A424" s="200">
        <v>4192</v>
      </c>
      <c r="B424" s="201" t="s">
        <v>340</v>
      </c>
      <c r="C424" s="202">
        <v>44387.5880439815</v>
      </c>
      <c r="D424" s="202">
        <v>44387.5888194444</v>
      </c>
      <c r="E424" s="203" t="s">
        <v>144</v>
      </c>
      <c r="F424" s="204" t="s">
        <v>259</v>
      </c>
      <c r="G424" s="204">
        <v>7280</v>
      </c>
      <c r="H424" s="203" t="s">
        <v>222</v>
      </c>
      <c r="I424" s="204" t="s">
        <v>341</v>
      </c>
      <c r="J424" s="204" t="s">
        <v>342</v>
      </c>
      <c r="K424" s="204" t="s">
        <v>25</v>
      </c>
      <c r="L424" s="204" t="str">
        <f>VLOOKUP(K:K,供应商清单!$A:$B,2,0)</f>
        <v>珊瑚</v>
      </c>
      <c r="M424" s="204" t="s">
        <v>176</v>
      </c>
      <c r="N424" s="204">
        <v>10201160202294</v>
      </c>
      <c r="O424" s="204">
        <v>71020121060990</v>
      </c>
      <c r="P424" s="206"/>
    </row>
    <row r="425" ht="14.25" spans="1:16">
      <c r="A425" s="200">
        <v>4199</v>
      </c>
      <c r="B425" s="201" t="s">
        <v>340</v>
      </c>
      <c r="C425" s="202">
        <v>44387.588287037</v>
      </c>
      <c r="D425" s="202">
        <v>44387.5888310185</v>
      </c>
      <c r="E425" s="203" t="s">
        <v>166</v>
      </c>
      <c r="F425" s="204" t="s">
        <v>220</v>
      </c>
      <c r="G425" s="204">
        <v>952</v>
      </c>
      <c r="H425" s="203" t="s">
        <v>222</v>
      </c>
      <c r="I425" s="204" t="s">
        <v>341</v>
      </c>
      <c r="J425" s="204" t="s">
        <v>342</v>
      </c>
      <c r="K425" s="204" t="s">
        <v>18</v>
      </c>
      <c r="L425" s="204" t="str">
        <f>VLOOKUP(K:K,供应商清单!$A:$B,2,0)</f>
        <v>中扬</v>
      </c>
      <c r="M425" s="204" t="s">
        <v>176</v>
      </c>
      <c r="N425" s="204">
        <v>10201160202411</v>
      </c>
      <c r="O425" s="204">
        <v>71020121060986</v>
      </c>
      <c r="P425" s="206"/>
    </row>
    <row r="426" ht="14.25" spans="1:16">
      <c r="A426" s="200">
        <v>4200</v>
      </c>
      <c r="B426" s="201" t="s">
        <v>340</v>
      </c>
      <c r="C426" s="202">
        <v>44387.5883217593</v>
      </c>
      <c r="D426" s="202">
        <v>44387.5888310185</v>
      </c>
      <c r="E426" s="203" t="s">
        <v>166</v>
      </c>
      <c r="F426" s="204" t="s">
        <v>220</v>
      </c>
      <c r="G426" s="204">
        <v>5200</v>
      </c>
      <c r="H426" s="203" t="s">
        <v>222</v>
      </c>
      <c r="I426" s="204" t="s">
        <v>341</v>
      </c>
      <c r="J426" s="204" t="s">
        <v>342</v>
      </c>
      <c r="K426" s="204" t="s">
        <v>18</v>
      </c>
      <c r="L426" s="204" t="str">
        <f>VLOOKUP(K:K,供应商清单!$A:$B,2,0)</f>
        <v>中扬</v>
      </c>
      <c r="M426" s="204" t="s">
        <v>176</v>
      </c>
      <c r="N426" s="204">
        <v>10201160202411</v>
      </c>
      <c r="O426" s="204">
        <v>71020121060298</v>
      </c>
      <c r="P426" s="206"/>
    </row>
    <row r="427" ht="14.25" spans="1:16">
      <c r="A427" s="200">
        <v>4201</v>
      </c>
      <c r="B427" s="201" t="s">
        <v>340</v>
      </c>
      <c r="C427" s="202">
        <v>44387.5883217593</v>
      </c>
      <c r="D427" s="202">
        <v>44387.5888310185</v>
      </c>
      <c r="E427" s="203" t="s">
        <v>166</v>
      </c>
      <c r="F427" s="204" t="s">
        <v>220</v>
      </c>
      <c r="G427" s="204">
        <v>700</v>
      </c>
      <c r="H427" s="203" t="s">
        <v>222</v>
      </c>
      <c r="I427" s="204" t="s">
        <v>341</v>
      </c>
      <c r="J427" s="204" t="s">
        <v>342</v>
      </c>
      <c r="K427" s="204" t="s">
        <v>18</v>
      </c>
      <c r="L427" s="204" t="str">
        <f>VLOOKUP(K:K,供应商清单!$A:$B,2,0)</f>
        <v>中扬</v>
      </c>
      <c r="M427" s="204" t="s">
        <v>176</v>
      </c>
      <c r="N427" s="204">
        <v>10201160202411</v>
      </c>
      <c r="O427" s="204">
        <v>71020121051437</v>
      </c>
      <c r="P427" s="206"/>
    </row>
    <row r="428" ht="14.25" spans="1:16">
      <c r="A428" s="200">
        <v>4204</v>
      </c>
      <c r="B428" s="201" t="s">
        <v>340</v>
      </c>
      <c r="C428" s="202">
        <v>44387.5883217593</v>
      </c>
      <c r="D428" s="202">
        <v>44387.5888310185</v>
      </c>
      <c r="E428" s="203" t="s">
        <v>125</v>
      </c>
      <c r="F428" s="204" t="s">
        <v>228</v>
      </c>
      <c r="G428" s="204">
        <v>4200</v>
      </c>
      <c r="H428" s="203" t="s">
        <v>222</v>
      </c>
      <c r="I428" s="204" t="s">
        <v>341</v>
      </c>
      <c r="J428" s="204" t="s">
        <v>342</v>
      </c>
      <c r="K428" s="204" t="s">
        <v>36</v>
      </c>
      <c r="L428" s="204" t="str">
        <f>VLOOKUP(K:K,供应商清单!$A:$B,2,0)</f>
        <v>东航</v>
      </c>
      <c r="M428" s="204" t="s">
        <v>176</v>
      </c>
      <c r="N428" s="204">
        <v>10201160202453</v>
      </c>
      <c r="O428" s="204">
        <v>71020121050654</v>
      </c>
      <c r="P428" s="206"/>
    </row>
    <row r="429" ht="14.25" spans="1:16">
      <c r="A429" s="200">
        <v>4205</v>
      </c>
      <c r="B429" s="201" t="s">
        <v>340</v>
      </c>
      <c r="C429" s="202">
        <v>44387.5883912037</v>
      </c>
      <c r="D429" s="202">
        <v>44387.5888310185</v>
      </c>
      <c r="E429" s="203" t="s">
        <v>125</v>
      </c>
      <c r="F429" s="204" t="s">
        <v>228</v>
      </c>
      <c r="G429" s="204">
        <v>4200</v>
      </c>
      <c r="H429" s="203" t="s">
        <v>222</v>
      </c>
      <c r="I429" s="204" t="s">
        <v>341</v>
      </c>
      <c r="J429" s="204" t="s">
        <v>342</v>
      </c>
      <c r="K429" s="204" t="s">
        <v>36</v>
      </c>
      <c r="L429" s="204" t="str">
        <f>VLOOKUP(K:K,供应商清单!$A:$B,2,0)</f>
        <v>东航</v>
      </c>
      <c r="M429" s="204" t="s">
        <v>176</v>
      </c>
      <c r="N429" s="204">
        <v>10201160202453</v>
      </c>
      <c r="O429" s="204">
        <v>71020121050654</v>
      </c>
      <c r="P429" s="206"/>
    </row>
    <row r="430" ht="14.25" spans="1:16">
      <c r="A430" s="200">
        <v>4206</v>
      </c>
      <c r="B430" s="201" t="s">
        <v>340</v>
      </c>
      <c r="C430" s="202">
        <v>44387.5884027778</v>
      </c>
      <c r="D430" s="202">
        <v>44387.5888310185</v>
      </c>
      <c r="E430" s="203" t="s">
        <v>125</v>
      </c>
      <c r="F430" s="204" t="s">
        <v>228</v>
      </c>
      <c r="G430" s="204">
        <v>4200</v>
      </c>
      <c r="H430" s="203" t="s">
        <v>222</v>
      </c>
      <c r="I430" s="204" t="s">
        <v>341</v>
      </c>
      <c r="J430" s="204" t="s">
        <v>342</v>
      </c>
      <c r="K430" s="204" t="s">
        <v>36</v>
      </c>
      <c r="L430" s="204" t="str">
        <f>VLOOKUP(K:K,供应商清单!$A:$B,2,0)</f>
        <v>东航</v>
      </c>
      <c r="M430" s="204" t="s">
        <v>176</v>
      </c>
      <c r="N430" s="204">
        <v>10201160202453</v>
      </c>
      <c r="O430" s="204">
        <v>71020121050654</v>
      </c>
      <c r="P430" s="206"/>
    </row>
    <row r="431" ht="14.25" spans="1:16">
      <c r="A431" s="200">
        <v>4207</v>
      </c>
      <c r="B431" s="201" t="s">
        <v>340</v>
      </c>
      <c r="C431" s="202">
        <v>44387.5884027778</v>
      </c>
      <c r="D431" s="202">
        <v>44387.5888310185</v>
      </c>
      <c r="E431" s="203" t="s">
        <v>237</v>
      </c>
      <c r="F431" s="204" t="s">
        <v>229</v>
      </c>
      <c r="G431" s="204">
        <v>500</v>
      </c>
      <c r="H431" s="203" t="s">
        <v>222</v>
      </c>
      <c r="I431" s="204" t="s">
        <v>341</v>
      </c>
      <c r="J431" s="204" t="s">
        <v>342</v>
      </c>
      <c r="K431" s="204" t="s">
        <v>36</v>
      </c>
      <c r="L431" s="204" t="str">
        <f>VLOOKUP(K:K,供应商清单!$A:$B,2,0)</f>
        <v>东航</v>
      </c>
      <c r="M431" s="204" t="s">
        <v>176</v>
      </c>
      <c r="N431" s="204">
        <v>10201160202454</v>
      </c>
      <c r="O431" s="204">
        <v>71020121060810</v>
      </c>
      <c r="P431" s="206"/>
    </row>
    <row r="432" ht="14.25" spans="1:16">
      <c r="A432" s="200">
        <v>4208</v>
      </c>
      <c r="B432" s="201" t="s">
        <v>340</v>
      </c>
      <c r="C432" s="202">
        <v>44387.5885069444</v>
      </c>
      <c r="D432" s="202">
        <v>44387.5888425926</v>
      </c>
      <c r="E432" s="203" t="s">
        <v>136</v>
      </c>
      <c r="F432" s="204" t="s">
        <v>220</v>
      </c>
      <c r="G432" s="204">
        <v>4000</v>
      </c>
      <c r="H432" s="203" t="s">
        <v>222</v>
      </c>
      <c r="I432" s="204" t="s">
        <v>341</v>
      </c>
      <c r="J432" s="204" t="s">
        <v>342</v>
      </c>
      <c r="K432" s="204" t="s">
        <v>36</v>
      </c>
      <c r="L432" s="204" t="str">
        <f>VLOOKUP(K:K,供应商清单!$A:$B,2,0)</f>
        <v>东航</v>
      </c>
      <c r="M432" s="204" t="s">
        <v>176</v>
      </c>
      <c r="N432" s="204">
        <v>10201160202455</v>
      </c>
      <c r="O432" s="204">
        <v>71020121060304</v>
      </c>
      <c r="P432" s="206"/>
    </row>
    <row r="433" ht="14.25" spans="1:16">
      <c r="A433" s="200">
        <v>4209</v>
      </c>
      <c r="B433" s="201" t="s">
        <v>340</v>
      </c>
      <c r="C433" s="202">
        <v>44387.5885069444</v>
      </c>
      <c r="D433" s="202">
        <v>44387.5888425926</v>
      </c>
      <c r="E433" s="203" t="s">
        <v>136</v>
      </c>
      <c r="F433" s="204" t="s">
        <v>220</v>
      </c>
      <c r="G433" s="204">
        <v>4000</v>
      </c>
      <c r="H433" s="203" t="s">
        <v>222</v>
      </c>
      <c r="I433" s="204" t="s">
        <v>341</v>
      </c>
      <c r="J433" s="204" t="s">
        <v>342</v>
      </c>
      <c r="K433" s="204" t="s">
        <v>36</v>
      </c>
      <c r="L433" s="204" t="str">
        <f>VLOOKUP(K:K,供应商清单!$A:$B,2,0)</f>
        <v>东航</v>
      </c>
      <c r="M433" s="204" t="s">
        <v>176</v>
      </c>
      <c r="N433" s="204">
        <v>10201160202455</v>
      </c>
      <c r="O433" s="204">
        <v>71020121060304</v>
      </c>
      <c r="P433" s="206"/>
    </row>
    <row r="434" ht="14.25" spans="1:16">
      <c r="A434" s="200">
        <v>4210</v>
      </c>
      <c r="B434" s="201" t="s">
        <v>340</v>
      </c>
      <c r="C434" s="202">
        <v>44387.5885185185</v>
      </c>
      <c r="D434" s="202">
        <v>44387.5888425926</v>
      </c>
      <c r="E434" s="203" t="s">
        <v>136</v>
      </c>
      <c r="F434" s="204" t="s">
        <v>220</v>
      </c>
      <c r="G434" s="204">
        <v>2600</v>
      </c>
      <c r="H434" s="203" t="s">
        <v>222</v>
      </c>
      <c r="I434" s="204" t="s">
        <v>341</v>
      </c>
      <c r="J434" s="204" t="s">
        <v>342</v>
      </c>
      <c r="K434" s="204" t="s">
        <v>36</v>
      </c>
      <c r="L434" s="204" t="str">
        <f>VLOOKUP(K:K,供应商清单!$A:$B,2,0)</f>
        <v>东航</v>
      </c>
      <c r="M434" s="204" t="s">
        <v>176</v>
      </c>
      <c r="N434" s="204">
        <v>10201160202456</v>
      </c>
      <c r="O434" s="204">
        <v>71020121060304</v>
      </c>
      <c r="P434" s="206"/>
    </row>
    <row r="435" ht="14.25" spans="1:16">
      <c r="A435" s="200">
        <v>4211</v>
      </c>
      <c r="B435" s="201" t="s">
        <v>340</v>
      </c>
      <c r="C435" s="202">
        <v>44387.5885532407</v>
      </c>
      <c r="D435" s="202">
        <v>44387.5888425926</v>
      </c>
      <c r="E435" s="203" t="s">
        <v>136</v>
      </c>
      <c r="F435" s="204" t="s">
        <v>220</v>
      </c>
      <c r="G435" s="204">
        <v>4000</v>
      </c>
      <c r="H435" s="203" t="s">
        <v>222</v>
      </c>
      <c r="I435" s="204" t="s">
        <v>341</v>
      </c>
      <c r="J435" s="204" t="s">
        <v>342</v>
      </c>
      <c r="K435" s="204" t="s">
        <v>36</v>
      </c>
      <c r="L435" s="204" t="str">
        <f>VLOOKUP(K:K,供应商清单!$A:$B,2,0)</f>
        <v>东航</v>
      </c>
      <c r="M435" s="204" t="s">
        <v>176</v>
      </c>
      <c r="N435" s="204">
        <v>10201160202456</v>
      </c>
      <c r="O435" s="204">
        <v>71020121051443</v>
      </c>
      <c r="P435" s="206"/>
    </row>
    <row r="436" ht="14.25" spans="1:16">
      <c r="A436" s="200">
        <v>4212</v>
      </c>
      <c r="B436" s="201" t="s">
        <v>340</v>
      </c>
      <c r="C436" s="202">
        <v>44387.5885648148</v>
      </c>
      <c r="D436" s="202">
        <v>44387.5888425926</v>
      </c>
      <c r="E436" s="203" t="s">
        <v>136</v>
      </c>
      <c r="F436" s="204" t="s">
        <v>220</v>
      </c>
      <c r="G436" s="204">
        <v>4000</v>
      </c>
      <c r="H436" s="203" t="s">
        <v>222</v>
      </c>
      <c r="I436" s="204" t="s">
        <v>341</v>
      </c>
      <c r="J436" s="204" t="s">
        <v>342</v>
      </c>
      <c r="K436" s="204" t="s">
        <v>36</v>
      </c>
      <c r="L436" s="204" t="str">
        <f>VLOOKUP(K:K,供应商清单!$A:$B,2,0)</f>
        <v>东航</v>
      </c>
      <c r="M436" s="204" t="s">
        <v>176</v>
      </c>
      <c r="N436" s="204">
        <v>10201160202457</v>
      </c>
      <c r="O436" s="204">
        <v>71020121051443</v>
      </c>
      <c r="P436" s="206"/>
    </row>
    <row r="437" ht="14.25" spans="1:16">
      <c r="A437" s="200">
        <v>4213</v>
      </c>
      <c r="B437" s="201" t="s">
        <v>340</v>
      </c>
      <c r="C437" s="202">
        <v>44387.5885648148</v>
      </c>
      <c r="D437" s="202">
        <v>44387.5888425926</v>
      </c>
      <c r="E437" s="203" t="s">
        <v>136</v>
      </c>
      <c r="F437" s="204" t="s">
        <v>220</v>
      </c>
      <c r="G437" s="204">
        <v>2000</v>
      </c>
      <c r="H437" s="203" t="s">
        <v>222</v>
      </c>
      <c r="I437" s="204" t="s">
        <v>341</v>
      </c>
      <c r="J437" s="204" t="s">
        <v>342</v>
      </c>
      <c r="K437" s="204" t="s">
        <v>36</v>
      </c>
      <c r="L437" s="204" t="str">
        <f>VLOOKUP(K:K,供应商清单!$A:$B,2,0)</f>
        <v>东航</v>
      </c>
      <c r="M437" s="204" t="s">
        <v>176</v>
      </c>
      <c r="N437" s="204">
        <v>10201160202457</v>
      </c>
      <c r="O437" s="204">
        <v>71020121051443</v>
      </c>
      <c r="P437" s="206"/>
    </row>
    <row r="438" ht="14.25" spans="1:16">
      <c r="A438" s="200">
        <v>4214</v>
      </c>
      <c r="B438" s="201" t="s">
        <v>340</v>
      </c>
      <c r="C438" s="202">
        <v>44387.588599537</v>
      </c>
      <c r="D438" s="202">
        <v>44387.5888425926</v>
      </c>
      <c r="E438" s="203" t="s">
        <v>231</v>
      </c>
      <c r="F438" s="204" t="s">
        <v>220</v>
      </c>
      <c r="G438" s="204">
        <v>2400</v>
      </c>
      <c r="H438" s="203" t="s">
        <v>222</v>
      </c>
      <c r="I438" s="204" t="s">
        <v>341</v>
      </c>
      <c r="J438" s="204" t="s">
        <v>342</v>
      </c>
      <c r="K438" s="204" t="s">
        <v>36</v>
      </c>
      <c r="L438" s="204" t="str">
        <f>VLOOKUP(K:K,供应商清单!$A:$B,2,0)</f>
        <v>东航</v>
      </c>
      <c r="M438" s="204" t="s">
        <v>176</v>
      </c>
      <c r="N438" s="204">
        <v>10201160202458</v>
      </c>
      <c r="O438" s="204">
        <v>71020121060111</v>
      </c>
      <c r="P438" s="206"/>
    </row>
    <row r="439" ht="14.25" spans="1:16">
      <c r="A439" s="200">
        <v>4215</v>
      </c>
      <c r="B439" s="201" t="s">
        <v>340</v>
      </c>
      <c r="C439" s="202">
        <v>44387.588599537</v>
      </c>
      <c r="D439" s="202">
        <v>44387.5888425926</v>
      </c>
      <c r="E439" s="203" t="s">
        <v>129</v>
      </c>
      <c r="F439" s="204" t="s">
        <v>229</v>
      </c>
      <c r="G439" s="204">
        <v>5000</v>
      </c>
      <c r="H439" s="203" t="s">
        <v>222</v>
      </c>
      <c r="I439" s="204" t="s">
        <v>341</v>
      </c>
      <c r="J439" s="204" t="s">
        <v>342</v>
      </c>
      <c r="K439" s="204" t="s">
        <v>36</v>
      </c>
      <c r="L439" s="204" t="str">
        <f>VLOOKUP(K:K,供应商清单!$A:$B,2,0)</f>
        <v>东航</v>
      </c>
      <c r="M439" s="204" t="s">
        <v>176</v>
      </c>
      <c r="N439" s="204">
        <v>10201160202459</v>
      </c>
      <c r="O439" s="204">
        <v>71020121051195</v>
      </c>
      <c r="P439" s="206"/>
    </row>
  </sheetData>
  <autoFilter ref="A2:P439">
    <extLst/>
  </autoFilter>
  <hyperlinks>
    <hyperlink ref="A1" location="目录!A1" display="返回"/>
  </hyperlink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20"/>
  <sheetViews>
    <sheetView tabSelected="1" zoomScale="85" zoomScaleNormal="85" topLeftCell="B1" workbookViewId="0">
      <pane xSplit="14" ySplit="4" topLeftCell="AC5" activePane="bottomRight" state="frozen"/>
      <selection/>
      <selection pane="topRight"/>
      <selection pane="bottomLeft"/>
      <selection pane="bottomRight" activeCell="B1" sqref="B1"/>
    </sheetView>
  </sheetViews>
  <sheetFormatPr defaultColWidth="9" defaultRowHeight="26.4" customHeight="1"/>
  <cols>
    <col min="1" max="1" width="1" style="173" customWidth="1"/>
    <col min="2" max="2" width="6.21666666666667" style="173" customWidth="1"/>
    <col min="3" max="4" width="6.88333333333333" style="173" customWidth="1"/>
    <col min="5" max="5" width="9.33333333333333" style="173" customWidth="1"/>
    <col min="6" max="6" width="10.1083333333333" style="173" customWidth="1"/>
    <col min="7" max="7" width="9.66666666666667" style="173" customWidth="1"/>
    <col min="8" max="8" width="8" style="174" customWidth="1"/>
    <col min="9" max="9" width="9.10833333333333" style="173" customWidth="1"/>
    <col min="10" max="10" width="8.44166666666667" style="173" customWidth="1"/>
    <col min="11" max="11" width="11" style="173" customWidth="1"/>
    <col min="12" max="15" width="11.3333333333333" style="173" customWidth="1"/>
    <col min="16" max="32" width="9.21666666666667" style="173" hidden="1" customWidth="1"/>
    <col min="33" max="35" width="9.21666666666667" style="173" customWidth="1"/>
    <col min="36" max="36" width="52.4416666666667" style="173" customWidth="1"/>
    <col min="37" max="37" width="19.1083333333333" style="173" hidden="1" customWidth="1"/>
    <col min="38" max="38" width="5.44166666666667" style="173" hidden="1" customWidth="1"/>
    <col min="39" max="16384" width="9" style="173"/>
  </cols>
  <sheetData>
    <row r="1" ht="17.1" customHeight="1"/>
    <row r="2" ht="31.2" customHeight="1" spans="2:38">
      <c r="B2" s="175" t="s">
        <v>358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93"/>
      <c r="AL2" s="193"/>
    </row>
    <row r="3" s="172" customFormat="1" customHeight="1" spans="1:38">
      <c r="A3" s="176"/>
      <c r="B3" s="177" t="s">
        <v>359</v>
      </c>
      <c r="C3" s="177" t="s">
        <v>292</v>
      </c>
      <c r="D3" s="177" t="s">
        <v>360</v>
      </c>
      <c r="E3" s="177" t="s">
        <v>361</v>
      </c>
      <c r="F3" s="178" t="s">
        <v>362</v>
      </c>
      <c r="G3" s="178" t="s">
        <v>363</v>
      </c>
      <c r="H3" s="179" t="s">
        <v>364</v>
      </c>
      <c r="I3" s="178" t="s">
        <v>365</v>
      </c>
      <c r="J3" s="178" t="s">
        <v>366</v>
      </c>
      <c r="K3" s="185" t="s">
        <v>367</v>
      </c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78" t="s">
        <v>368</v>
      </c>
      <c r="AK3" s="193" t="s">
        <v>369</v>
      </c>
      <c r="AL3" s="193" t="s">
        <v>370</v>
      </c>
    </row>
    <row r="4" s="172" customFormat="1" ht="36" customHeight="1" spans="1:38">
      <c r="A4" s="176"/>
      <c r="B4" s="177"/>
      <c r="C4" s="177"/>
      <c r="D4" s="177"/>
      <c r="E4" s="177"/>
      <c r="F4" s="178"/>
      <c r="G4" s="178"/>
      <c r="H4" s="179"/>
      <c r="I4" s="178"/>
      <c r="J4" s="178"/>
      <c r="K4" s="186" t="s">
        <v>371</v>
      </c>
      <c r="L4" s="187" t="s">
        <v>372</v>
      </c>
      <c r="M4" s="187" t="s">
        <v>373</v>
      </c>
      <c r="N4" s="187" t="s">
        <v>374</v>
      </c>
      <c r="O4" s="187" t="s">
        <v>375</v>
      </c>
      <c r="P4" s="188">
        <v>44378</v>
      </c>
      <c r="Q4" s="188">
        <v>44379</v>
      </c>
      <c r="R4" s="188">
        <v>44380</v>
      </c>
      <c r="S4" s="188">
        <v>44381</v>
      </c>
      <c r="T4" s="188">
        <v>44382</v>
      </c>
      <c r="U4" s="188">
        <v>44383</v>
      </c>
      <c r="V4" s="188">
        <v>44384</v>
      </c>
      <c r="W4" s="188">
        <v>44385</v>
      </c>
      <c r="X4" s="188">
        <v>44386</v>
      </c>
      <c r="Y4" s="188">
        <v>44387</v>
      </c>
      <c r="Z4" s="188">
        <v>44388</v>
      </c>
      <c r="AA4" s="188">
        <v>44389</v>
      </c>
      <c r="AB4" s="188">
        <v>44390</v>
      </c>
      <c r="AC4" s="188">
        <v>44391</v>
      </c>
      <c r="AD4" s="188">
        <v>44392</v>
      </c>
      <c r="AE4" s="188">
        <v>44393</v>
      </c>
      <c r="AF4" s="188">
        <v>44394</v>
      </c>
      <c r="AG4" s="188">
        <v>44395</v>
      </c>
      <c r="AH4" s="188">
        <v>44396</v>
      </c>
      <c r="AI4" s="188">
        <v>44397</v>
      </c>
      <c r="AJ4" s="178"/>
      <c r="AK4" s="193"/>
      <c r="AL4" s="193"/>
    </row>
    <row r="5" ht="34.05" customHeight="1" spans="1:38">
      <c r="A5" s="180"/>
      <c r="B5" s="181">
        <v>1</v>
      </c>
      <c r="C5" s="181" t="s">
        <v>26</v>
      </c>
      <c r="D5" s="181" t="s">
        <v>27</v>
      </c>
      <c r="E5" s="181">
        <v>50</v>
      </c>
      <c r="F5" s="182">
        <v>522468</v>
      </c>
      <c r="G5" s="182">
        <f t="shared" ref="G5:G15" si="0">F5-K5</f>
        <v>316107</v>
      </c>
      <c r="H5" s="183">
        <f>E5/30*10000</f>
        <v>16666.6666666667</v>
      </c>
      <c r="I5" s="189">
        <f t="shared" ref="I5:I19" si="1">AI5/H5</f>
        <v>0.821999999999998</v>
      </c>
      <c r="J5" s="189">
        <f t="shared" ref="J5:J17" si="2">K5/F5</f>
        <v>0.394973472059533</v>
      </c>
      <c r="K5" s="190">
        <f>L5+M5+N5+O5</f>
        <v>206361</v>
      </c>
      <c r="L5" s="190">
        <f>P5+Q5+R5+S5</f>
        <v>17400</v>
      </c>
      <c r="M5" s="190">
        <f>T5+U5+V5+W5+X5+Y5+Z5</f>
        <v>109743</v>
      </c>
      <c r="N5" s="190">
        <f>SUM(AA5:AG5)</f>
        <v>55658</v>
      </c>
      <c r="O5" s="190">
        <f>SUM(AH5:AI5)</f>
        <v>23560</v>
      </c>
      <c r="P5" s="190">
        <v>0</v>
      </c>
      <c r="Q5" s="190">
        <v>12000</v>
      </c>
      <c r="R5" s="190">
        <v>5400</v>
      </c>
      <c r="S5" s="190">
        <v>0</v>
      </c>
      <c r="T5" s="190">
        <v>22264</v>
      </c>
      <c r="U5" s="190">
        <v>14080</v>
      </c>
      <c r="V5" s="190">
        <v>17540</v>
      </c>
      <c r="W5" s="190">
        <v>13200</v>
      </c>
      <c r="X5" s="190">
        <v>18259</v>
      </c>
      <c r="Y5" s="190">
        <v>12300</v>
      </c>
      <c r="Z5" s="190">
        <v>12100</v>
      </c>
      <c r="AA5" s="190">
        <v>0</v>
      </c>
      <c r="AB5" s="190">
        <v>10691</v>
      </c>
      <c r="AC5" s="190">
        <v>9387</v>
      </c>
      <c r="AD5" s="190">
        <v>9600</v>
      </c>
      <c r="AE5" s="190">
        <v>0</v>
      </c>
      <c r="AF5" s="190">
        <v>12800</v>
      </c>
      <c r="AG5" s="190">
        <v>13180</v>
      </c>
      <c r="AH5" s="190">
        <f>9860</f>
        <v>9860</v>
      </c>
      <c r="AI5" s="190">
        <v>13700</v>
      </c>
      <c r="AJ5" s="194" t="s">
        <v>376</v>
      </c>
      <c r="AK5" s="195" t="s">
        <v>377</v>
      </c>
      <c r="AL5" s="195" t="s">
        <v>378</v>
      </c>
    </row>
    <row r="6" ht="34.05" customHeight="1" spans="1:38">
      <c r="A6" s="180"/>
      <c r="B6" s="181">
        <v>2</v>
      </c>
      <c r="C6" s="181" t="s">
        <v>19</v>
      </c>
      <c r="D6" s="181" t="s">
        <v>20</v>
      </c>
      <c r="E6" s="181">
        <v>30</v>
      </c>
      <c r="F6" s="182">
        <v>576326</v>
      </c>
      <c r="G6" s="182">
        <f t="shared" si="0"/>
        <v>395675</v>
      </c>
      <c r="H6" s="183">
        <f t="shared" ref="H6:H19" si="3">E6/30*10000</f>
        <v>10000</v>
      </c>
      <c r="I6" s="189">
        <f t="shared" si="1"/>
        <v>1.812</v>
      </c>
      <c r="J6" s="189">
        <f t="shared" si="2"/>
        <v>0.313452802753997</v>
      </c>
      <c r="K6" s="190">
        <f>L6+M6+N6+O6</f>
        <v>180651</v>
      </c>
      <c r="L6" s="190">
        <f t="shared" ref="L6:L20" si="4">P6+Q6+R6+S6</f>
        <v>7832</v>
      </c>
      <c r="M6" s="190">
        <f t="shared" ref="M6:M20" si="5">T6+U6+V6+W6+X6+Y6+Z6</f>
        <v>50323</v>
      </c>
      <c r="N6" s="190">
        <f>SUM(AA6:AG6)</f>
        <v>94073</v>
      </c>
      <c r="O6" s="190">
        <f t="shared" ref="O6:O19" si="6">SUM(AH6:AI6)</f>
        <v>28423</v>
      </c>
      <c r="P6" s="190">
        <v>0</v>
      </c>
      <c r="Q6" s="190">
        <v>5172</v>
      </c>
      <c r="R6" s="190">
        <v>2660</v>
      </c>
      <c r="S6" s="190">
        <v>0</v>
      </c>
      <c r="T6" s="190">
        <v>2280</v>
      </c>
      <c r="U6" s="190">
        <v>3480</v>
      </c>
      <c r="V6" s="190">
        <v>8280</v>
      </c>
      <c r="W6" s="190">
        <v>8375</v>
      </c>
      <c r="X6" s="190">
        <v>13166</v>
      </c>
      <c r="Y6" s="190">
        <v>5060</v>
      </c>
      <c r="Z6" s="190">
        <v>9682</v>
      </c>
      <c r="AA6" s="190">
        <v>10695</v>
      </c>
      <c r="AB6" s="190">
        <v>11250</v>
      </c>
      <c r="AC6" s="190">
        <v>25555</v>
      </c>
      <c r="AD6" s="190">
        <f>22645-10000</f>
        <v>12645</v>
      </c>
      <c r="AE6" s="190">
        <f>692+1771+3520+1151+969+306+1495+500</f>
        <v>10404</v>
      </c>
      <c r="AF6" s="190">
        <f>2400+1387+1442+5000+4355</f>
        <v>14584</v>
      </c>
      <c r="AG6" s="190">
        <f>2840+1904+2116+2080</f>
        <v>8940</v>
      </c>
      <c r="AH6" s="190">
        <v>10303</v>
      </c>
      <c r="AI6" s="190">
        <f>10000+5140+3620+2400-3040</f>
        <v>18120</v>
      </c>
      <c r="AJ6" s="194" t="s">
        <v>379</v>
      </c>
      <c r="AK6" s="195" t="s">
        <v>380</v>
      </c>
      <c r="AL6" s="195" t="s">
        <v>381</v>
      </c>
    </row>
    <row r="7" ht="34.05" customHeight="1" spans="1:38">
      <c r="A7" s="180"/>
      <c r="B7" s="181">
        <v>3</v>
      </c>
      <c r="C7" s="181" t="s">
        <v>37</v>
      </c>
      <c r="D7" s="181" t="s">
        <v>27</v>
      </c>
      <c r="E7" s="181">
        <v>35</v>
      </c>
      <c r="F7" s="182">
        <v>313737</v>
      </c>
      <c r="G7" s="182">
        <f t="shared" si="0"/>
        <v>100960</v>
      </c>
      <c r="H7" s="183">
        <f t="shared" si="3"/>
        <v>11666.6666666667</v>
      </c>
      <c r="I7" s="189">
        <f t="shared" si="1"/>
        <v>0.779228571428569</v>
      </c>
      <c r="J7" s="189">
        <f t="shared" si="2"/>
        <v>0.678201805971243</v>
      </c>
      <c r="K7" s="190">
        <f t="shared" ref="K5:K19" si="7">L7+M7+N7+O7</f>
        <v>212777</v>
      </c>
      <c r="L7" s="190">
        <f t="shared" si="4"/>
        <v>22976</v>
      </c>
      <c r="M7" s="190">
        <f t="shared" si="5"/>
        <v>82765</v>
      </c>
      <c r="N7" s="190">
        <f>SUM(AA7:AG7)</f>
        <v>86966</v>
      </c>
      <c r="O7" s="190">
        <f t="shared" si="6"/>
        <v>20070</v>
      </c>
      <c r="P7" s="190">
        <v>0</v>
      </c>
      <c r="Q7" s="190">
        <v>11955</v>
      </c>
      <c r="R7" s="190">
        <v>11021</v>
      </c>
      <c r="S7" s="190">
        <v>0</v>
      </c>
      <c r="T7" s="190">
        <v>16615</v>
      </c>
      <c r="U7" s="190">
        <v>8343</v>
      </c>
      <c r="V7" s="190">
        <v>16937</v>
      </c>
      <c r="W7" s="190">
        <v>11561</v>
      </c>
      <c r="X7" s="190">
        <v>9562</v>
      </c>
      <c r="Y7" s="190">
        <v>15269</v>
      </c>
      <c r="Z7" s="190">
        <v>4478</v>
      </c>
      <c r="AA7" s="190">
        <v>10892</v>
      </c>
      <c r="AB7" s="190">
        <v>12458</v>
      </c>
      <c r="AC7" s="190">
        <v>21634</v>
      </c>
      <c r="AD7" s="190">
        <v>12947</v>
      </c>
      <c r="AE7" s="190">
        <f>1100+1070+1020+5278+2000+702</f>
        <v>11170</v>
      </c>
      <c r="AF7" s="190">
        <v>4859</v>
      </c>
      <c r="AG7" s="190">
        <v>13006</v>
      </c>
      <c r="AH7" s="190">
        <v>10979</v>
      </c>
      <c r="AI7" s="190">
        <f>9091</f>
        <v>9091</v>
      </c>
      <c r="AJ7" s="194" t="s">
        <v>379</v>
      </c>
      <c r="AK7" s="195" t="s">
        <v>380</v>
      </c>
      <c r="AL7" s="195" t="s">
        <v>381</v>
      </c>
    </row>
    <row r="8" ht="65" customHeight="1" spans="1:38">
      <c r="A8" s="180"/>
      <c r="B8" s="181">
        <v>4</v>
      </c>
      <c r="C8" s="181" t="s">
        <v>35</v>
      </c>
      <c r="D8" s="181" t="s">
        <v>27</v>
      </c>
      <c r="E8" s="181">
        <v>20</v>
      </c>
      <c r="F8" s="182">
        <v>158346</v>
      </c>
      <c r="G8" s="182">
        <f t="shared" si="0"/>
        <v>18544</v>
      </c>
      <c r="H8" s="183">
        <f t="shared" si="3"/>
        <v>6666.66666666667</v>
      </c>
      <c r="I8" s="189">
        <f t="shared" si="1"/>
        <v>1.76415</v>
      </c>
      <c r="J8" s="189">
        <f t="shared" si="2"/>
        <v>0.882889368850492</v>
      </c>
      <c r="K8" s="190">
        <f t="shared" si="7"/>
        <v>139802</v>
      </c>
      <c r="L8" s="190">
        <f t="shared" si="4"/>
        <v>2840</v>
      </c>
      <c r="M8" s="190">
        <f t="shared" si="5"/>
        <v>40098</v>
      </c>
      <c r="N8" s="190">
        <f>SUM(AA8:AG8)</f>
        <v>64906</v>
      </c>
      <c r="O8" s="190">
        <f t="shared" si="6"/>
        <v>31958</v>
      </c>
      <c r="P8" s="190">
        <v>0</v>
      </c>
      <c r="Q8" s="190">
        <v>2840</v>
      </c>
      <c r="R8" s="190">
        <v>0</v>
      </c>
      <c r="S8" s="190">
        <v>0</v>
      </c>
      <c r="T8" s="190">
        <v>15211</v>
      </c>
      <c r="U8" s="190">
        <v>3819</v>
      </c>
      <c r="V8" s="190">
        <v>0</v>
      </c>
      <c r="W8" s="190">
        <v>14908</v>
      </c>
      <c r="X8" s="190">
        <v>6160</v>
      </c>
      <c r="Y8" s="190">
        <v>0</v>
      </c>
      <c r="Z8" s="190">
        <v>0</v>
      </c>
      <c r="AA8" s="190">
        <v>17079</v>
      </c>
      <c r="AB8" s="190">
        <v>7520</v>
      </c>
      <c r="AC8" s="190">
        <v>8782</v>
      </c>
      <c r="AD8" s="190">
        <v>6962</v>
      </c>
      <c r="AE8" s="190">
        <v>0</v>
      </c>
      <c r="AF8" s="190">
        <v>22963</v>
      </c>
      <c r="AG8" s="190">
        <v>1600</v>
      </c>
      <c r="AH8" s="190">
        <v>20197</v>
      </c>
      <c r="AI8" s="190">
        <v>11761</v>
      </c>
      <c r="AJ8" s="194" t="s">
        <v>382</v>
      </c>
      <c r="AK8" s="195" t="s">
        <v>380</v>
      </c>
      <c r="AL8" s="195" t="s">
        <v>381</v>
      </c>
    </row>
    <row r="9" ht="34.05" customHeight="1" spans="1:38">
      <c r="A9" s="180"/>
      <c r="B9" s="181">
        <v>5</v>
      </c>
      <c r="C9" s="181" t="s">
        <v>31</v>
      </c>
      <c r="D9" s="181" t="s">
        <v>20</v>
      </c>
      <c r="E9" s="181">
        <v>2</v>
      </c>
      <c r="F9" s="182">
        <v>23600</v>
      </c>
      <c r="G9" s="182">
        <f t="shared" si="0"/>
        <v>9716</v>
      </c>
      <c r="H9" s="183">
        <f t="shared" si="3"/>
        <v>666.666666666667</v>
      </c>
      <c r="I9" s="189">
        <f t="shared" si="1"/>
        <v>0</v>
      </c>
      <c r="J9" s="189">
        <f t="shared" si="2"/>
        <v>0.588305084745763</v>
      </c>
      <c r="K9" s="190">
        <f t="shared" si="7"/>
        <v>13884</v>
      </c>
      <c r="L9" s="190">
        <f t="shared" si="4"/>
        <v>3964</v>
      </c>
      <c r="M9" s="190">
        <f t="shared" si="5"/>
        <v>6714</v>
      </c>
      <c r="N9" s="190">
        <f t="shared" ref="N9:N19" si="8">SUM(AA9:AG9)</f>
        <v>1100</v>
      </c>
      <c r="O9" s="190">
        <f t="shared" si="6"/>
        <v>2106</v>
      </c>
      <c r="P9" s="190">
        <v>0</v>
      </c>
      <c r="Q9" s="190">
        <v>0</v>
      </c>
      <c r="R9" s="190">
        <v>3964</v>
      </c>
      <c r="S9" s="190">
        <v>0</v>
      </c>
      <c r="T9" s="190">
        <v>1480</v>
      </c>
      <c r="U9" s="190">
        <v>1700</v>
      </c>
      <c r="V9" s="190">
        <v>2102</v>
      </c>
      <c r="W9" s="190">
        <v>0</v>
      </c>
      <c r="X9" s="190">
        <v>0</v>
      </c>
      <c r="Y9" s="190">
        <v>0</v>
      </c>
      <c r="Z9" s="190">
        <v>1432</v>
      </c>
      <c r="AA9" s="190">
        <v>0</v>
      </c>
      <c r="AB9" s="190">
        <v>0</v>
      </c>
      <c r="AC9" s="190">
        <v>0</v>
      </c>
      <c r="AD9" s="190">
        <v>0</v>
      </c>
      <c r="AE9" s="190">
        <v>0</v>
      </c>
      <c r="AF9" s="190">
        <v>1100</v>
      </c>
      <c r="AG9" s="190">
        <v>0</v>
      </c>
      <c r="AH9" s="190">
        <v>2106</v>
      </c>
      <c r="AI9" s="190">
        <v>0</v>
      </c>
      <c r="AJ9" s="194" t="s">
        <v>379</v>
      </c>
      <c r="AK9" s="195" t="s">
        <v>380</v>
      </c>
      <c r="AL9" s="195" t="s">
        <v>381</v>
      </c>
    </row>
    <row r="10" ht="34.05" customHeight="1" spans="1:38">
      <c r="A10" s="180"/>
      <c r="B10" s="181">
        <v>6</v>
      </c>
      <c r="C10" s="181" t="s">
        <v>24</v>
      </c>
      <c r="D10" s="181" t="s">
        <v>20</v>
      </c>
      <c r="E10" s="181">
        <v>15</v>
      </c>
      <c r="F10" s="182">
        <v>49500</v>
      </c>
      <c r="G10" s="182">
        <f t="shared" si="0"/>
        <v>23326</v>
      </c>
      <c r="H10" s="183">
        <f t="shared" si="3"/>
        <v>5000</v>
      </c>
      <c r="I10" s="189">
        <f t="shared" si="1"/>
        <v>0</v>
      </c>
      <c r="J10" s="189">
        <f t="shared" si="2"/>
        <v>0.528767676767677</v>
      </c>
      <c r="K10" s="190">
        <f t="shared" si="7"/>
        <v>26174</v>
      </c>
      <c r="L10" s="190">
        <f t="shared" si="4"/>
        <v>2000</v>
      </c>
      <c r="M10" s="190">
        <f t="shared" si="5"/>
        <v>17877</v>
      </c>
      <c r="N10" s="190">
        <f t="shared" si="8"/>
        <v>6297</v>
      </c>
      <c r="O10" s="190">
        <f t="shared" si="6"/>
        <v>0</v>
      </c>
      <c r="P10" s="190">
        <v>0</v>
      </c>
      <c r="Q10" s="190">
        <v>0</v>
      </c>
      <c r="R10" s="190">
        <v>2000</v>
      </c>
      <c r="S10" s="190">
        <v>0</v>
      </c>
      <c r="T10" s="190">
        <v>1000</v>
      </c>
      <c r="U10" s="190">
        <v>6020</v>
      </c>
      <c r="V10" s="190">
        <v>2000</v>
      </c>
      <c r="W10" s="190">
        <v>2357</v>
      </c>
      <c r="X10" s="190">
        <v>3100</v>
      </c>
      <c r="Y10" s="190">
        <v>0</v>
      </c>
      <c r="Z10" s="190">
        <v>3400</v>
      </c>
      <c r="AA10" s="190">
        <v>0</v>
      </c>
      <c r="AB10" s="190">
        <v>0</v>
      </c>
      <c r="AC10" s="190">
        <v>3180</v>
      </c>
      <c r="AD10" s="190">
        <v>0</v>
      </c>
      <c r="AE10" s="190">
        <v>3117</v>
      </c>
      <c r="AF10" s="190">
        <v>0</v>
      </c>
      <c r="AG10" s="190">
        <v>0</v>
      </c>
      <c r="AH10" s="190">
        <v>0</v>
      </c>
      <c r="AI10" s="190">
        <v>0</v>
      </c>
      <c r="AJ10" s="194" t="s">
        <v>383</v>
      </c>
      <c r="AK10" s="195" t="s">
        <v>380</v>
      </c>
      <c r="AL10" s="195" t="s">
        <v>381</v>
      </c>
    </row>
    <row r="11" ht="34.05" customHeight="1" spans="1:38">
      <c r="A11" s="180"/>
      <c r="B11" s="181">
        <v>7</v>
      </c>
      <c r="C11" s="181" t="s">
        <v>29</v>
      </c>
      <c r="D11" s="181" t="s">
        <v>20</v>
      </c>
      <c r="E11" s="181">
        <v>20</v>
      </c>
      <c r="F11" s="182">
        <v>50275</v>
      </c>
      <c r="G11" s="182">
        <f t="shared" si="0"/>
        <v>20855</v>
      </c>
      <c r="H11" s="183">
        <f t="shared" si="3"/>
        <v>6666.66666666667</v>
      </c>
      <c r="I11" s="189">
        <f t="shared" si="1"/>
        <v>0.57</v>
      </c>
      <c r="J11" s="189">
        <f t="shared" si="2"/>
        <v>0.585181501740428</v>
      </c>
      <c r="K11" s="190">
        <f t="shared" si="7"/>
        <v>29420</v>
      </c>
      <c r="L11" s="190">
        <f t="shared" si="4"/>
        <v>0</v>
      </c>
      <c r="M11" s="190">
        <f t="shared" si="5"/>
        <v>0</v>
      </c>
      <c r="N11" s="190">
        <f t="shared" si="8"/>
        <v>20420</v>
      </c>
      <c r="O11" s="190">
        <f t="shared" si="6"/>
        <v>9000</v>
      </c>
      <c r="P11" s="190">
        <v>0</v>
      </c>
      <c r="Q11" s="190">
        <v>0</v>
      </c>
      <c r="R11" s="190">
        <v>0</v>
      </c>
      <c r="S11" s="190">
        <v>0</v>
      </c>
      <c r="T11" s="190">
        <v>0</v>
      </c>
      <c r="U11" s="190">
        <v>0</v>
      </c>
      <c r="V11" s="190">
        <v>0</v>
      </c>
      <c r="W11" s="190">
        <v>0</v>
      </c>
      <c r="X11" s="190">
        <v>0</v>
      </c>
      <c r="Y11" s="190">
        <v>0</v>
      </c>
      <c r="Z11" s="190">
        <v>0</v>
      </c>
      <c r="AA11" s="190">
        <v>0</v>
      </c>
      <c r="AB11" s="190">
        <v>0</v>
      </c>
      <c r="AC11" s="190">
        <v>6100</v>
      </c>
      <c r="AD11" s="190">
        <v>4220</v>
      </c>
      <c r="AE11" s="190">
        <v>4620</v>
      </c>
      <c r="AF11" s="190">
        <v>2020</v>
      </c>
      <c r="AG11" s="190">
        <f>3040+420</f>
        <v>3460</v>
      </c>
      <c r="AH11" s="190">
        <v>5200</v>
      </c>
      <c r="AI11" s="190">
        <f>3800</f>
        <v>3800</v>
      </c>
      <c r="AJ11" s="194" t="s">
        <v>384</v>
      </c>
      <c r="AK11" s="195" t="s">
        <v>380</v>
      </c>
      <c r="AL11" s="195" t="s">
        <v>381</v>
      </c>
    </row>
    <row r="12" ht="34.05" customHeight="1" spans="1:38">
      <c r="A12" s="180"/>
      <c r="B12" s="181">
        <v>8</v>
      </c>
      <c r="C12" s="181" t="s">
        <v>33</v>
      </c>
      <c r="D12" s="181" t="s">
        <v>27</v>
      </c>
      <c r="E12" s="181">
        <v>10</v>
      </c>
      <c r="F12" s="182">
        <v>65900</v>
      </c>
      <c r="G12" s="182">
        <f t="shared" si="0"/>
        <v>64550</v>
      </c>
      <c r="H12" s="183">
        <f t="shared" si="3"/>
        <v>3333.33333333333</v>
      </c>
      <c r="I12" s="189">
        <f t="shared" si="1"/>
        <v>0</v>
      </c>
      <c r="J12" s="189">
        <f t="shared" si="2"/>
        <v>0.0204855842185129</v>
      </c>
      <c r="K12" s="190">
        <f t="shared" si="7"/>
        <v>1350</v>
      </c>
      <c r="L12" s="190">
        <f t="shared" si="4"/>
        <v>1350</v>
      </c>
      <c r="M12" s="190">
        <f t="shared" si="5"/>
        <v>0</v>
      </c>
      <c r="N12" s="190">
        <f t="shared" si="8"/>
        <v>0</v>
      </c>
      <c r="O12" s="190">
        <f t="shared" si="6"/>
        <v>0</v>
      </c>
      <c r="P12" s="190">
        <v>0</v>
      </c>
      <c r="Q12" s="190">
        <v>1350</v>
      </c>
      <c r="R12" s="190">
        <v>0</v>
      </c>
      <c r="S12" s="190">
        <v>0</v>
      </c>
      <c r="T12" s="190">
        <v>0</v>
      </c>
      <c r="U12" s="190">
        <v>0</v>
      </c>
      <c r="V12" s="190">
        <v>0</v>
      </c>
      <c r="W12" s="190">
        <v>0</v>
      </c>
      <c r="X12" s="190">
        <v>0</v>
      </c>
      <c r="Y12" s="190">
        <v>0</v>
      </c>
      <c r="Z12" s="190">
        <v>0</v>
      </c>
      <c r="AA12" s="190">
        <v>0</v>
      </c>
      <c r="AB12" s="190">
        <v>0</v>
      </c>
      <c r="AC12" s="190">
        <v>0</v>
      </c>
      <c r="AD12" s="190">
        <v>0</v>
      </c>
      <c r="AE12" s="190">
        <v>0</v>
      </c>
      <c r="AF12" s="190">
        <v>0</v>
      </c>
      <c r="AG12" s="190">
        <v>0</v>
      </c>
      <c r="AH12" s="190">
        <v>0</v>
      </c>
      <c r="AI12" s="190">
        <v>0</v>
      </c>
      <c r="AJ12" s="194" t="s">
        <v>385</v>
      </c>
      <c r="AK12" s="195" t="s">
        <v>380</v>
      </c>
      <c r="AL12" s="195" t="s">
        <v>381</v>
      </c>
    </row>
    <row r="13" ht="34.05" customHeight="1" spans="1:38">
      <c r="A13" s="180"/>
      <c r="B13" s="181">
        <v>9</v>
      </c>
      <c r="C13" s="181" t="s">
        <v>22</v>
      </c>
      <c r="D13" s="181" t="s">
        <v>20</v>
      </c>
      <c r="E13" s="181">
        <v>20</v>
      </c>
      <c r="F13" s="182">
        <v>46620</v>
      </c>
      <c r="G13" s="182">
        <f t="shared" si="0"/>
        <v>25786</v>
      </c>
      <c r="H13" s="183">
        <f t="shared" si="3"/>
        <v>6666.66666666667</v>
      </c>
      <c r="I13" s="189">
        <f t="shared" si="1"/>
        <v>0</v>
      </c>
      <c r="J13" s="189">
        <f t="shared" si="2"/>
        <v>0.446889746889747</v>
      </c>
      <c r="K13" s="190">
        <f t="shared" si="7"/>
        <v>20834</v>
      </c>
      <c r="L13" s="190">
        <f t="shared" si="4"/>
        <v>6400</v>
      </c>
      <c r="M13" s="190">
        <f t="shared" si="5"/>
        <v>4280</v>
      </c>
      <c r="N13" s="190">
        <f t="shared" si="8"/>
        <v>9400</v>
      </c>
      <c r="O13" s="190">
        <f t="shared" si="6"/>
        <v>754</v>
      </c>
      <c r="P13" s="190">
        <v>0</v>
      </c>
      <c r="Q13" s="190">
        <v>2460</v>
      </c>
      <c r="R13" s="190">
        <v>3940</v>
      </c>
      <c r="S13" s="190">
        <v>0</v>
      </c>
      <c r="T13" s="190">
        <v>2114</v>
      </c>
      <c r="U13" s="190">
        <v>2166</v>
      </c>
      <c r="V13" s="190">
        <v>0</v>
      </c>
      <c r="W13" s="190">
        <v>0</v>
      </c>
      <c r="X13" s="190">
        <v>0</v>
      </c>
      <c r="Y13" s="190">
        <v>0</v>
      </c>
      <c r="Z13" s="190">
        <v>0</v>
      </c>
      <c r="AA13" s="190">
        <v>0</v>
      </c>
      <c r="AB13" s="190">
        <v>0</v>
      </c>
      <c r="AC13" s="190">
        <v>0</v>
      </c>
      <c r="AD13" s="190">
        <v>1640</v>
      </c>
      <c r="AE13" s="190">
        <v>1520</v>
      </c>
      <c r="AF13" s="190">
        <f>2474+766</f>
        <v>3240</v>
      </c>
      <c r="AG13" s="190">
        <v>3000</v>
      </c>
      <c r="AH13" s="190">
        <v>754</v>
      </c>
      <c r="AI13" s="190">
        <v>0</v>
      </c>
      <c r="AJ13" s="194" t="s">
        <v>379</v>
      </c>
      <c r="AK13" s="195"/>
      <c r="AL13" s="195"/>
    </row>
    <row r="14" ht="34.05" customHeight="1" spans="1:38">
      <c r="A14" s="180"/>
      <c r="B14" s="181">
        <v>10</v>
      </c>
      <c r="C14" s="181" t="s">
        <v>52</v>
      </c>
      <c r="D14" s="181" t="s">
        <v>27</v>
      </c>
      <c r="E14" s="181">
        <v>20</v>
      </c>
      <c r="F14" s="182">
        <v>201000</v>
      </c>
      <c r="G14" s="182">
        <f t="shared" si="0"/>
        <v>181260</v>
      </c>
      <c r="H14" s="183">
        <f t="shared" si="3"/>
        <v>6666.66666666667</v>
      </c>
      <c r="I14" s="189">
        <f t="shared" si="1"/>
        <v>0</v>
      </c>
      <c r="J14" s="189">
        <f t="shared" si="2"/>
        <v>0.0982089552238806</v>
      </c>
      <c r="K14" s="190">
        <f t="shared" si="7"/>
        <v>19740</v>
      </c>
      <c r="L14" s="190">
        <f t="shared" si="4"/>
        <v>3000</v>
      </c>
      <c r="M14" s="190">
        <f t="shared" si="5"/>
        <v>11300</v>
      </c>
      <c r="N14" s="190">
        <f t="shared" si="8"/>
        <v>5440</v>
      </c>
      <c r="O14" s="190">
        <f t="shared" si="6"/>
        <v>0</v>
      </c>
      <c r="P14" s="190">
        <v>0</v>
      </c>
      <c r="Q14" s="190">
        <v>1000</v>
      </c>
      <c r="R14" s="190">
        <v>2000</v>
      </c>
      <c r="S14" s="190">
        <v>0</v>
      </c>
      <c r="T14" s="190">
        <v>1540</v>
      </c>
      <c r="U14" s="190">
        <v>4160</v>
      </c>
      <c r="V14" s="190">
        <v>0</v>
      </c>
      <c r="W14" s="190">
        <v>1800</v>
      </c>
      <c r="X14" s="190">
        <v>2000</v>
      </c>
      <c r="Y14" s="190">
        <v>1800</v>
      </c>
      <c r="Z14" s="190">
        <v>0</v>
      </c>
      <c r="AA14" s="190">
        <v>3460</v>
      </c>
      <c r="AB14" s="190">
        <v>100</v>
      </c>
      <c r="AC14" s="190">
        <v>1880</v>
      </c>
      <c r="AD14" s="190">
        <v>0</v>
      </c>
      <c r="AE14" s="190">
        <v>0</v>
      </c>
      <c r="AF14" s="190">
        <v>0</v>
      </c>
      <c r="AG14" s="190">
        <v>0</v>
      </c>
      <c r="AH14" s="190">
        <v>0</v>
      </c>
      <c r="AI14" s="190">
        <v>0</v>
      </c>
      <c r="AJ14" s="194" t="s">
        <v>386</v>
      </c>
      <c r="AK14" s="195"/>
      <c r="AL14" s="195"/>
    </row>
    <row r="15" ht="34.05" customHeight="1" spans="1:38">
      <c r="A15" s="180"/>
      <c r="B15" s="181">
        <v>11</v>
      </c>
      <c r="C15" s="181" t="s">
        <v>54</v>
      </c>
      <c r="D15" s="181" t="s">
        <v>20</v>
      </c>
      <c r="E15" s="181">
        <v>10</v>
      </c>
      <c r="F15" s="182">
        <v>25000</v>
      </c>
      <c r="G15" s="182">
        <f t="shared" si="0"/>
        <v>2302</v>
      </c>
      <c r="H15" s="183">
        <f t="shared" si="3"/>
        <v>3333.33333333333</v>
      </c>
      <c r="I15" s="189">
        <f t="shared" si="1"/>
        <v>0.489</v>
      </c>
      <c r="J15" s="189">
        <f t="shared" si="2"/>
        <v>0.90792</v>
      </c>
      <c r="K15" s="190">
        <f t="shared" si="7"/>
        <v>22698</v>
      </c>
      <c r="L15" s="190">
        <f t="shared" si="4"/>
        <v>900</v>
      </c>
      <c r="M15" s="190">
        <f t="shared" si="5"/>
        <v>8083</v>
      </c>
      <c r="N15" s="190">
        <f t="shared" si="8"/>
        <v>12085</v>
      </c>
      <c r="O15" s="190">
        <f t="shared" si="6"/>
        <v>1630</v>
      </c>
      <c r="P15" s="190">
        <v>0</v>
      </c>
      <c r="Q15" s="190">
        <v>0</v>
      </c>
      <c r="R15" s="190">
        <v>900</v>
      </c>
      <c r="S15" s="190">
        <v>0</v>
      </c>
      <c r="T15" s="190">
        <v>1280</v>
      </c>
      <c r="U15" s="190">
        <v>1880</v>
      </c>
      <c r="V15" s="190">
        <v>1543</v>
      </c>
      <c r="W15" s="190">
        <v>0</v>
      </c>
      <c r="X15" s="190">
        <v>2020</v>
      </c>
      <c r="Y15" s="190">
        <v>1360</v>
      </c>
      <c r="Z15" s="190">
        <v>0</v>
      </c>
      <c r="AA15" s="190">
        <v>1540</v>
      </c>
      <c r="AB15" s="190">
        <v>1500</v>
      </c>
      <c r="AC15" s="190">
        <v>1600</v>
      </c>
      <c r="AD15" s="190">
        <f>2390+300</f>
        <v>2690</v>
      </c>
      <c r="AE15" s="190">
        <f>1358+287</f>
        <v>1645</v>
      </c>
      <c r="AF15" s="190">
        <f>1439-69</f>
        <v>1370</v>
      </c>
      <c r="AG15" s="190">
        <v>1740</v>
      </c>
      <c r="AH15" s="190">
        <v>0</v>
      </c>
      <c r="AI15" s="190">
        <f>1598+32</f>
        <v>1630</v>
      </c>
      <c r="AJ15" s="194" t="s">
        <v>387</v>
      </c>
      <c r="AK15" s="195"/>
      <c r="AL15" s="195"/>
    </row>
    <row r="16" ht="34.05" customHeight="1" spans="1:38">
      <c r="A16" s="180"/>
      <c r="B16" s="181">
        <v>12</v>
      </c>
      <c r="C16" s="181" t="s">
        <v>39</v>
      </c>
      <c r="D16" s="181" t="s">
        <v>27</v>
      </c>
      <c r="E16" s="181">
        <v>5</v>
      </c>
      <c r="F16" s="182">
        <v>77913</v>
      </c>
      <c r="G16" s="182">
        <v>62255</v>
      </c>
      <c r="H16" s="183">
        <f t="shared" si="3"/>
        <v>1666.66666666667</v>
      </c>
      <c r="I16" s="189">
        <f t="shared" si="1"/>
        <v>0</v>
      </c>
      <c r="J16" s="189">
        <f t="shared" si="2"/>
        <v>0.20168649647684</v>
      </c>
      <c r="K16" s="190">
        <f t="shared" si="7"/>
        <v>15714</v>
      </c>
      <c r="L16" s="190">
        <f t="shared" si="4"/>
        <v>0</v>
      </c>
      <c r="M16" s="190">
        <f t="shared" si="5"/>
        <v>1890</v>
      </c>
      <c r="N16" s="190">
        <f t="shared" si="8"/>
        <v>13824</v>
      </c>
      <c r="O16" s="190">
        <f t="shared" si="6"/>
        <v>0</v>
      </c>
      <c r="P16" s="190"/>
      <c r="Q16" s="190"/>
      <c r="R16" s="190"/>
      <c r="S16" s="190"/>
      <c r="T16" s="190"/>
      <c r="U16" s="190"/>
      <c r="V16" s="190"/>
      <c r="W16" s="190"/>
      <c r="X16" s="190"/>
      <c r="Y16" s="190">
        <v>1890</v>
      </c>
      <c r="Z16" s="190">
        <v>0</v>
      </c>
      <c r="AA16" s="190">
        <v>3492</v>
      </c>
      <c r="AB16" s="190">
        <v>3147</v>
      </c>
      <c r="AC16" s="190">
        <v>0</v>
      </c>
      <c r="AD16" s="190">
        <v>2394</v>
      </c>
      <c r="AE16" s="190">
        <v>0</v>
      </c>
      <c r="AF16" s="190">
        <f>1577+614</f>
        <v>2191</v>
      </c>
      <c r="AG16" s="190">
        <v>2600</v>
      </c>
      <c r="AH16" s="190">
        <v>0</v>
      </c>
      <c r="AI16" s="190">
        <v>0</v>
      </c>
      <c r="AJ16" s="194" t="s">
        <v>379</v>
      </c>
      <c r="AK16" s="195"/>
      <c r="AL16" s="195"/>
    </row>
    <row r="17" ht="34.05" customHeight="1" spans="1:38">
      <c r="A17" s="180"/>
      <c r="B17" s="181">
        <v>13</v>
      </c>
      <c r="C17" s="181" t="s">
        <v>41</v>
      </c>
      <c r="D17" s="181" t="s">
        <v>27</v>
      </c>
      <c r="E17" s="181">
        <v>5</v>
      </c>
      <c r="F17" s="182">
        <v>50185</v>
      </c>
      <c r="G17" s="182">
        <v>36902</v>
      </c>
      <c r="H17" s="183">
        <f t="shared" si="3"/>
        <v>1666.66666666667</v>
      </c>
      <c r="I17" s="189">
        <f t="shared" si="1"/>
        <v>0.632399999999999</v>
      </c>
      <c r="J17" s="189">
        <f t="shared" si="2"/>
        <v>0.18906047623792</v>
      </c>
      <c r="K17" s="190">
        <f>L17+M17+N17+O17</f>
        <v>9488</v>
      </c>
      <c r="L17" s="190">
        <f t="shared" si="4"/>
        <v>0</v>
      </c>
      <c r="M17" s="190">
        <f t="shared" si="5"/>
        <v>4460</v>
      </c>
      <c r="N17" s="190">
        <f t="shared" si="8"/>
        <v>3974</v>
      </c>
      <c r="O17" s="190">
        <f t="shared" si="6"/>
        <v>1054</v>
      </c>
      <c r="P17" s="190"/>
      <c r="Q17" s="190"/>
      <c r="R17" s="190"/>
      <c r="S17" s="190"/>
      <c r="T17" s="190"/>
      <c r="U17" s="190"/>
      <c r="V17" s="190"/>
      <c r="W17" s="190"/>
      <c r="X17" s="190"/>
      <c r="Y17" s="190">
        <v>0</v>
      </c>
      <c r="Z17" s="190">
        <v>4460</v>
      </c>
      <c r="AA17" s="190">
        <v>0</v>
      </c>
      <c r="AB17" s="190">
        <v>0</v>
      </c>
      <c r="AC17" s="190">
        <v>0</v>
      </c>
      <c r="AD17" s="190">
        <f>1610+2364</f>
        <v>3974</v>
      </c>
      <c r="AE17" s="190">
        <v>0</v>
      </c>
      <c r="AF17" s="190">
        <v>0</v>
      </c>
      <c r="AG17" s="190">
        <v>0</v>
      </c>
      <c r="AH17" s="190">
        <f t="shared" ref="AH17:AH19" si="9">SUM(BA17)</f>
        <v>0</v>
      </c>
      <c r="AI17" s="190">
        <v>1054</v>
      </c>
      <c r="AJ17" s="194" t="s">
        <v>379</v>
      </c>
      <c r="AK17" s="195"/>
      <c r="AL17" s="195"/>
    </row>
    <row r="18" ht="34.05" customHeight="1" spans="1:38">
      <c r="A18" s="180"/>
      <c r="B18" s="181">
        <v>14</v>
      </c>
      <c r="C18" s="181" t="s">
        <v>56</v>
      </c>
      <c r="D18" s="181" t="s">
        <v>20</v>
      </c>
      <c r="E18" s="181">
        <v>10</v>
      </c>
      <c r="F18" s="182">
        <v>0</v>
      </c>
      <c r="G18" s="182">
        <f>F18-K18</f>
        <v>0</v>
      </c>
      <c r="H18" s="183">
        <f t="shared" si="3"/>
        <v>3333.33333333333</v>
      </c>
      <c r="I18" s="189">
        <f t="shared" si="1"/>
        <v>0</v>
      </c>
      <c r="J18" s="189" t="str">
        <f>IFERROR(K18/F18,"0")</f>
        <v>0</v>
      </c>
      <c r="K18" s="190">
        <f t="shared" si="7"/>
        <v>0</v>
      </c>
      <c r="L18" s="190">
        <f t="shared" si="4"/>
        <v>0</v>
      </c>
      <c r="M18" s="190">
        <f t="shared" si="5"/>
        <v>0</v>
      </c>
      <c r="N18" s="190">
        <f t="shared" si="8"/>
        <v>0</v>
      </c>
      <c r="O18" s="190">
        <f t="shared" si="6"/>
        <v>0</v>
      </c>
      <c r="P18" s="190">
        <v>0</v>
      </c>
      <c r="Q18" s="190">
        <v>0</v>
      </c>
      <c r="R18" s="190">
        <v>0</v>
      </c>
      <c r="S18" s="190">
        <v>0</v>
      </c>
      <c r="T18" s="190">
        <v>0</v>
      </c>
      <c r="U18" s="190">
        <v>0</v>
      </c>
      <c r="V18" s="190">
        <v>0</v>
      </c>
      <c r="W18" s="190">
        <v>0</v>
      </c>
      <c r="X18" s="190">
        <v>0</v>
      </c>
      <c r="Y18" s="190">
        <v>0</v>
      </c>
      <c r="Z18" s="190">
        <v>0</v>
      </c>
      <c r="AA18" s="190">
        <v>0</v>
      </c>
      <c r="AB18" s="190">
        <v>0</v>
      </c>
      <c r="AC18" s="190">
        <v>0</v>
      </c>
      <c r="AD18" s="190">
        <v>0</v>
      </c>
      <c r="AE18" s="190">
        <v>0</v>
      </c>
      <c r="AF18" s="190">
        <v>0</v>
      </c>
      <c r="AG18" s="190">
        <v>0</v>
      </c>
      <c r="AH18" s="190">
        <f t="shared" si="9"/>
        <v>0</v>
      </c>
      <c r="AI18" s="190">
        <v>0</v>
      </c>
      <c r="AJ18" s="194" t="s">
        <v>388</v>
      </c>
      <c r="AK18" s="195"/>
      <c r="AL18" s="195"/>
    </row>
    <row r="19" ht="34.05" customHeight="1" spans="1:38">
      <c r="A19" s="180"/>
      <c r="B19" s="181">
        <v>15</v>
      </c>
      <c r="C19" s="181" t="s">
        <v>50</v>
      </c>
      <c r="D19" s="181" t="s">
        <v>20</v>
      </c>
      <c r="E19" s="181">
        <v>5</v>
      </c>
      <c r="F19" s="182">
        <v>0</v>
      </c>
      <c r="G19" s="182">
        <f>F19-K19</f>
        <v>0</v>
      </c>
      <c r="H19" s="183">
        <f t="shared" si="3"/>
        <v>1666.66666666667</v>
      </c>
      <c r="I19" s="189">
        <f t="shared" si="1"/>
        <v>0</v>
      </c>
      <c r="J19" s="189" t="str">
        <f>IFERROR(K19/F19,"0")</f>
        <v>0</v>
      </c>
      <c r="K19" s="190">
        <f t="shared" si="7"/>
        <v>0</v>
      </c>
      <c r="L19" s="190">
        <f t="shared" si="4"/>
        <v>0</v>
      </c>
      <c r="M19" s="190">
        <f t="shared" si="5"/>
        <v>0</v>
      </c>
      <c r="N19" s="190">
        <f t="shared" si="8"/>
        <v>0</v>
      </c>
      <c r="O19" s="190">
        <f t="shared" si="6"/>
        <v>0</v>
      </c>
      <c r="P19" s="190">
        <v>0</v>
      </c>
      <c r="Q19" s="190">
        <v>0</v>
      </c>
      <c r="R19" s="190">
        <v>0</v>
      </c>
      <c r="S19" s="190">
        <v>0</v>
      </c>
      <c r="T19" s="190">
        <v>0</v>
      </c>
      <c r="U19" s="190">
        <v>0</v>
      </c>
      <c r="V19" s="190">
        <v>0</v>
      </c>
      <c r="W19" s="190">
        <v>0</v>
      </c>
      <c r="X19" s="190">
        <v>0</v>
      </c>
      <c r="Y19" s="190">
        <v>0</v>
      </c>
      <c r="Z19" s="190">
        <v>0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190">
        <v>0</v>
      </c>
      <c r="AG19" s="190">
        <v>0</v>
      </c>
      <c r="AH19" s="190">
        <f t="shared" si="9"/>
        <v>0</v>
      </c>
      <c r="AI19" s="190">
        <v>0</v>
      </c>
      <c r="AJ19" s="194" t="s">
        <v>388</v>
      </c>
      <c r="AK19" s="195"/>
      <c r="AL19" s="195"/>
    </row>
    <row r="20" ht="34.05" customHeight="1" spans="1:38">
      <c r="A20" s="180"/>
      <c r="B20" s="181"/>
      <c r="C20" s="181" t="s">
        <v>389</v>
      </c>
      <c r="D20" s="181"/>
      <c r="E20" s="184">
        <f t="shared" ref="E20:H20" si="10">SUM(E5:E19)</f>
        <v>257</v>
      </c>
      <c r="F20" s="182">
        <f t="shared" si="10"/>
        <v>2160870</v>
      </c>
      <c r="G20" s="182">
        <f t="shared" si="10"/>
        <v>1258238</v>
      </c>
      <c r="H20" s="183">
        <f t="shared" si="10"/>
        <v>85666.6666666667</v>
      </c>
      <c r="I20" s="191">
        <f>AB20/H20</f>
        <v>0.544739299610895</v>
      </c>
      <c r="J20" s="191">
        <f>K20/F20</f>
        <v>0.415986616501687</v>
      </c>
      <c r="K20" s="192">
        <f>SUM(K5:K19)</f>
        <v>898893</v>
      </c>
      <c r="L20" s="190">
        <f t="shared" ref="K20:O20" si="11">SUM(L5:L19)</f>
        <v>68662</v>
      </c>
      <c r="M20" s="190">
        <f t="shared" si="11"/>
        <v>337533</v>
      </c>
      <c r="N20" s="190">
        <f>SUM(N5:N19)</f>
        <v>374143</v>
      </c>
      <c r="O20" s="192">
        <f>SUM(O5:O19)</f>
        <v>118555</v>
      </c>
      <c r="P20" s="190">
        <f t="shared" ref="P20:AI20" si="12">SUM(P5:P19)</f>
        <v>0</v>
      </c>
      <c r="Q20" s="190">
        <f t="shared" si="12"/>
        <v>36777</v>
      </c>
      <c r="R20" s="190">
        <f t="shared" si="12"/>
        <v>31885</v>
      </c>
      <c r="S20" s="190">
        <f t="shared" si="12"/>
        <v>0</v>
      </c>
      <c r="T20" s="190">
        <f t="shared" si="12"/>
        <v>63784</v>
      </c>
      <c r="U20" s="190">
        <f t="shared" si="12"/>
        <v>45648</v>
      </c>
      <c r="V20" s="190">
        <f t="shared" si="12"/>
        <v>48402</v>
      </c>
      <c r="W20" s="190">
        <f t="shared" si="12"/>
        <v>52201</v>
      </c>
      <c r="X20" s="190">
        <f t="shared" si="12"/>
        <v>54267</v>
      </c>
      <c r="Y20" s="190">
        <f t="shared" si="12"/>
        <v>37679</v>
      </c>
      <c r="Z20" s="190">
        <f t="shared" si="12"/>
        <v>35552</v>
      </c>
      <c r="AA20" s="190">
        <f t="shared" si="12"/>
        <v>47158</v>
      </c>
      <c r="AB20" s="190">
        <f t="shared" si="12"/>
        <v>46666</v>
      </c>
      <c r="AC20" s="190">
        <f t="shared" si="12"/>
        <v>78118</v>
      </c>
      <c r="AD20" s="190">
        <f t="shared" si="12"/>
        <v>57072</v>
      </c>
      <c r="AE20" s="190">
        <f t="shared" si="12"/>
        <v>32476</v>
      </c>
      <c r="AF20" s="190">
        <f t="shared" si="12"/>
        <v>65127</v>
      </c>
      <c r="AG20" s="190">
        <f t="shared" si="12"/>
        <v>47526</v>
      </c>
      <c r="AH20" s="190">
        <f t="shared" si="12"/>
        <v>59399</v>
      </c>
      <c r="AI20" s="192">
        <f t="shared" si="12"/>
        <v>59156</v>
      </c>
      <c r="AJ20" s="194"/>
      <c r="AK20" s="195"/>
      <c r="AL20" s="195"/>
    </row>
  </sheetData>
  <mergeCells count="15">
    <mergeCell ref="B2:AL2"/>
    <mergeCell ref="K3:AI3"/>
    <mergeCell ref="C20:D20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AJ3:AJ4"/>
    <mergeCell ref="AK3:AK4"/>
    <mergeCell ref="AL3:AL4"/>
  </mergeCells>
  <conditionalFormatting sqref="K3">
    <cfRule type="duplicateValues" dxfId="0" priority="1"/>
    <cfRule type="duplicateValues" dxfId="0" priority="2"/>
  </conditionalFormatting>
  <pageMargins left="0.0393700787401575" right="0.039370078740157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目录</vt:lpstr>
      <vt:lpstr>供应商清单</vt:lpstr>
      <vt:lpstr>广州海鸥住宅工业股份有限公司</vt:lpstr>
      <vt:lpstr>珠海承鸥卫浴用品有限公司</vt:lpstr>
      <vt:lpstr>未交清汇总</vt:lpstr>
      <vt:lpstr>7月入仓汇总</vt:lpstr>
      <vt:lpstr>未交清清单</vt:lpstr>
      <vt:lpstr>7月入仓清单</vt:lpstr>
      <vt:lpstr>总量产日报表控</vt:lpstr>
      <vt:lpstr>模具及PPAP日报表</vt:lpstr>
      <vt:lpstr>生产进度日报表A</vt:lpstr>
      <vt:lpstr>生产进度日报表B</vt:lpstr>
      <vt:lpstr>供应商每日情报收集</vt:lpstr>
      <vt:lpstr>周报总控表</vt:lpstr>
      <vt:lpstr>授予料号</vt:lpstr>
      <vt:lpstr>组员分工</vt:lpstr>
      <vt:lpstr>供应商分组</vt:lpstr>
      <vt:lpstr>订单汇总</vt:lpstr>
      <vt:lpstr>品保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chimney.li</cp:lastModifiedBy>
  <dcterms:created xsi:type="dcterms:W3CDTF">2021-07-09T07:26:00Z</dcterms:created>
  <dcterms:modified xsi:type="dcterms:W3CDTF">2021-07-20T12:58:22Z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KSOReadingLayout">
    <vt:bool>true</vt:bool>
  </property>
</Properties>
</file>